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صفقات" sheetId="3" state="visible" r:id="rId3"/>
    <sheet name="المتابعات" sheetId="4" state="visible" r:id="rId4"/>
    <sheet name="ملخص القمع" sheetId="5" state="visible" r:id="rId5"/>
    <sheet name="لماذا ما زلت على إكسل؟" sheetId="6" state="visible" r:id="rId6"/>
  </sheets>
  <definedNames>
    <definedName name="_xlnm._FilterDatabase" localSheetId="2" hidden="1">'الصفقات'!$A$5:$M$505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9"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9"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crm-pipeline?utm_source=excel&amp;utm_medium=template&amp;utm_campaign=crm-pipeline"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crm-pipeline"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crm-pipeline"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crm-pipeline"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crm-pipeline"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crm-pipeline" TargetMode="External" Id="rId1" /><Relationship Type="http://schemas.openxmlformats.org/officeDocument/2006/relationships/hyperlink" Target="https://softwiro.com/ar/contact?utm_source=excel&amp;utm_medium=template&amp;utm_campaign=crm-pipeline"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العملاء المحتملين والصفقات</t>
        </is>
      </c>
    </row>
    <row r="3" ht="36" customHeight="1">
      <c r="B3" s="2" t="inlineStr">
        <is>
          <t>يتابع كل عميل محتمل وصفقة: مصدره ومرحلته وقيمتها وموعد المتابعة القادم وآخر تواصل، ويحسب القيمة الموزونة بحسب المرحلة، ويعرض متابعات اليوم والمتأخرة وملخص القمع ومصادر العملاء.</t>
        </is>
      </c>
    </row>
    <row r="5">
      <c r="B5" s="3" t="inlineStr">
        <is>
          <t>طريقة الاستخدام</t>
        </is>
      </c>
    </row>
    <row r="6" ht="30" customHeight="1">
      <c r="B6" s="4" t="inlineStr">
        <is>
          <t>1. في شيت «الإعدادات» اكتب تاريخ اليوم (أو =TODAY() ليتحدث وحده)، وعدّل نسبة احتمال الإغلاق لكل مرحلة، واكتب مصادر عملائك.</t>
        </is>
      </c>
    </row>
    <row r="7" ht="30" customHeight="1">
      <c r="B7" s="4" t="inlineStr">
        <is>
          <t>2. في شيت «الصفقات» اكتب لكل عميل: اسمه والمصدر والمرحلة وقيمة الصفقة وموعد المتابعة القادم وتاريخ آخر تواصل.</t>
        </is>
      </c>
    </row>
    <row r="8" ht="30" customHeight="1">
      <c r="B8" s="4" t="inlineStr">
        <is>
          <t>3. حرّك الصفقة بين المراحل بتغيير خانة المرحلة فقط: جديد، تواصل، عرض سعر، تفاوض، تم، خسارة.</t>
        </is>
      </c>
    </row>
    <row r="9" ht="30" customHeight="1">
      <c r="B9" s="4" t="inlineStr">
        <is>
          <t>4. عند إتمام الصفقة أو خسارتها غيّر مرحلتها إلى «تم» أو «خسارة» فتصير حالتها «مغلقة» وتخرج من المتابعات، ويُفضّل مسح موعد المتابعة.</t>
        </is>
      </c>
    </row>
    <row r="10" ht="30" customHeight="1">
      <c r="B10" s="4" t="inlineStr">
        <is>
          <t>5. افتح شيت «المتابعات» كل صباح: تجد الصفقات المتأخرة ثم متابعات اليوم، الأقدم موعدًا أولًا.</t>
        </is>
      </c>
    </row>
    <row r="11" ht="30" customHeight="1">
      <c r="B11" s="4" t="inlineStr">
        <is>
          <t>6. راجع شيت «ملخص القمع» لتعرف عدد وقيمة كل مرحلة، والقيمة الموزونة المتوقعة، ونسبة التحويل لكل مصدر.</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القيمة الموزونة = قيمة الصفقة × احتمال مرحلتها. احتمال «تم» 100% و«خسارة» 0%، ويمكنك تعديل الباقي من الإعدادات.</t>
        </is>
      </c>
    </row>
    <row r="20" ht="30" customHeight="1">
      <c r="B20" s="4" t="inlineStr">
        <is>
          <t>• لا تغيّر أسماء المراحل في الإعدادات، فالشيت يعتمد عليها. عدّل النسب فقط.</t>
        </is>
      </c>
    </row>
    <row r="21" ht="30" customHeight="1">
      <c r="B21" s="4" t="inlineStr">
        <is>
          <t>• حالة المتابعة: «متأخرة» إذا سبق موعدها تاريخ اليوم، و«اليوم» إذا وافقه، و«قادمة» بعده، و«بلا موعد» لصفقة مفتوحة بلا موعد، و«مغلقة» لصفقة «تم» أو «خسارة».</t>
        </is>
      </c>
    </row>
    <row r="22" ht="30" customHeight="1">
      <c r="B22" s="4" t="inlineStr">
        <is>
          <t>• نسبة الفوز = الصفقات «تم» ÷ (تم + خسارة). نسبة التحويل الكلية = الصفقات «تم» ÷ كل الصفقات المسجلة.</t>
        </is>
      </c>
    </row>
    <row r="23" ht="30" customHeight="1">
      <c r="B23" s="4" t="inlineStr">
        <is>
          <t>• مصادر العملاء تُكتب في الإعدادات (حتى 10 مصادر)، وتظهر كقائمة اختيار في الصفقات.</t>
        </is>
      </c>
    </row>
    <row r="24" ht="30" customHeight="1">
      <c r="B24" s="4" t="inlineStr">
        <is>
          <t>• يتسع الشيت لـ 500 صفقة، وتعرض «المتابعات» أول 50 صفقة متأخرة أو لليوم.</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25"/>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متابعة العملاء المحتملين والصفقات · قالب مجاني من Softwiro</t>
        </is>
      </c>
    </row>
    <row r="2">
      <c r="A2" s="11" t="inlineStr">
        <is>
          <t>عايز برنامج متابعة عملاء يدخل عليه كل مندوب ويصله تنبيه بمتابعاته؟ Softwiro تبنيه لك على طريقتك ← اضغط هنا</t>
        </is>
      </c>
    </row>
    <row r="4">
      <c r="A4" s="12" t="inlineStr">
        <is>
          <t>تاريخ اليوم</t>
        </is>
      </c>
      <c r="B4" s="13" t="n">
        <v>46327</v>
      </c>
    </row>
    <row r="5">
      <c r="A5" s="8" t="inlineStr">
        <is>
          <t>اكتب =TODAY() ليتحدث التاريخ وحده كل يوم. المكتوب هنا تاريخ المثال.</t>
        </is>
      </c>
    </row>
    <row r="7" ht="32" customHeight="1">
      <c r="A7" s="14" t="inlineStr">
        <is>
          <t>المرحلة</t>
        </is>
      </c>
      <c r="B7" s="14" t="inlineStr">
        <is>
          <t>احتمال الإغلاق</t>
        </is>
      </c>
    </row>
    <row r="8">
      <c r="A8" s="12" t="inlineStr">
        <is>
          <t>جديد</t>
        </is>
      </c>
      <c r="B8" s="15" t="n">
        <v>0.1</v>
      </c>
    </row>
    <row r="9">
      <c r="A9" s="12" t="inlineStr">
        <is>
          <t>تواصل</t>
        </is>
      </c>
      <c r="B9" s="15" t="n">
        <v>0.25</v>
      </c>
    </row>
    <row r="10">
      <c r="A10" s="12" t="inlineStr">
        <is>
          <t>عرض سعر</t>
        </is>
      </c>
      <c r="B10" s="15" t="n">
        <v>0.5</v>
      </c>
    </row>
    <row r="11">
      <c r="A11" s="12" t="inlineStr">
        <is>
          <t>تفاوض</t>
        </is>
      </c>
      <c r="B11" s="15" t="n">
        <v>0.75</v>
      </c>
    </row>
    <row r="12">
      <c r="A12" s="12" t="inlineStr">
        <is>
          <t>تم</t>
        </is>
      </c>
      <c r="B12" s="15" t="n">
        <v>1</v>
      </c>
    </row>
    <row r="13">
      <c r="A13" s="12" t="inlineStr">
        <is>
          <t>خسارة</t>
        </is>
      </c>
      <c r="B13" s="15" t="n">
        <v>0</v>
      </c>
    </row>
    <row r="15" ht="32" customHeight="1">
      <c r="A15" s="14" t="inlineStr">
        <is>
          <t>مصدر العميل</t>
        </is>
      </c>
      <c r="B15" s="14" t="n"/>
    </row>
    <row r="16">
      <c r="A16" s="5" t="inlineStr">
        <is>
          <t>إعلان فيسبوك</t>
        </is>
      </c>
    </row>
    <row r="17">
      <c r="A17" s="5" t="inlineStr">
        <is>
          <t>ترشيح</t>
        </is>
      </c>
    </row>
    <row r="18">
      <c r="A18" s="5" t="inlineStr">
        <is>
          <t>موقع</t>
        </is>
      </c>
    </row>
    <row r="19">
      <c r="A19" s="5" t="inlineStr">
        <is>
          <t>واتساب</t>
        </is>
      </c>
    </row>
    <row r="20">
      <c r="A20" s="5" t="inlineStr">
        <is>
          <t>معرض</t>
        </is>
      </c>
    </row>
    <row r="21">
      <c r="A21" s="5" t="n"/>
    </row>
    <row r="22">
      <c r="A22" s="5" t="n"/>
    </row>
    <row r="23">
      <c r="A23" s="5" t="n"/>
    </row>
    <row r="24">
      <c r="A24" s="5" t="n"/>
    </row>
    <row r="25">
      <c r="A25" s="5" t="n"/>
    </row>
  </sheetData>
  <mergeCells count="3">
    <mergeCell ref="A1:C1"/>
    <mergeCell ref="A2:C2"/>
    <mergeCell ref="A5:B5"/>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5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6" customWidth="1" min="2" max="2"/>
    <col width="12" customWidth="1" min="3" max="3"/>
    <col width="14" customWidth="1" min="4" max="4"/>
    <col width="15" customWidth="1" min="5" max="5"/>
    <col width="15" customWidth="1" min="6" max="6"/>
    <col width="24" customWidth="1" min="7" max="7"/>
    <col width="11" customWidth="1" min="8" max="8"/>
    <col width="15" customWidth="1" min="9" max="9"/>
    <col width="12" customWidth="1" min="10" max="10"/>
    <col width="11" customWidth="1" min="11" max="11"/>
    <col width="13" customWidth="1" min="12" max="12"/>
    <col width="11" customWidth="1" min="13" max="13"/>
  </cols>
  <sheetData>
    <row r="1" ht="26" customHeight="1">
      <c r="A1" s="10" t="inlineStr">
        <is>
          <t>شيت متابعة العملاء المحتملين والصفقات · قالب مجاني من Softwiro</t>
        </is>
      </c>
    </row>
    <row r="2">
      <c r="A2" s="11" t="inlineStr">
        <is>
          <t>عايز برنامج متابعة عملاء يدخل عليه كل مندوب ويصله تنبيه بمتابعاته؟ Softwiro تبنيه لك على طريقتك ← اضغط هنا</t>
        </is>
      </c>
    </row>
    <row r="5" ht="32" customHeight="1">
      <c r="A5" s="14" t="inlineStr">
        <is>
          <t>العميل</t>
        </is>
      </c>
      <c r="B5" s="14" t="inlineStr">
        <is>
          <t>المصدر</t>
        </is>
      </c>
      <c r="C5" s="14" t="inlineStr">
        <is>
          <t>المرحلة</t>
        </is>
      </c>
      <c r="D5" s="14" t="inlineStr">
        <is>
          <t>قيمة الصفقة</t>
        </is>
      </c>
      <c r="E5" s="14" t="inlineStr">
        <is>
          <t>موعد المتابعة القادم</t>
        </is>
      </c>
      <c r="F5" s="14" t="inlineStr">
        <is>
          <t>آخر تواصل</t>
        </is>
      </c>
      <c r="G5" s="14" t="inlineStr">
        <is>
          <t>ملاحظة</t>
        </is>
      </c>
      <c r="H5" s="14" t="inlineStr">
        <is>
          <t>الاحتمال</t>
        </is>
      </c>
      <c r="I5" s="14" t="inlineStr">
        <is>
          <t>القيمة الموزونة</t>
        </is>
      </c>
      <c r="J5" s="14" t="inlineStr">
        <is>
          <t>حالة المتابعة</t>
        </is>
      </c>
      <c r="K5" s="14" t="inlineStr">
        <is>
          <t>أيام التأخير</t>
        </is>
      </c>
      <c r="L5" s="14" t="inlineStr">
        <is>
          <t>أيام منذ آخر تواصل</t>
        </is>
      </c>
      <c r="M5" s="14" t="inlineStr">
        <is>
          <t>ترتيب المتابعة</t>
        </is>
      </c>
    </row>
    <row r="6">
      <c r="A6" s="5" t="inlineStr">
        <is>
          <t>مكتب الأمل للمقاولات</t>
        </is>
      </c>
      <c r="B6" s="5" t="inlineStr">
        <is>
          <t>ترشيح</t>
        </is>
      </c>
      <c r="C6" s="5" t="inlineStr">
        <is>
          <t>جديد</t>
        </is>
      </c>
      <c r="D6" s="16" t="n">
        <v>45000</v>
      </c>
      <c r="E6" s="13" t="n">
        <v>46327</v>
      </c>
      <c r="F6" s="13" t="n">
        <v>46325</v>
      </c>
      <c r="G6" s="5" t="inlineStr">
        <is>
          <t>طلب مكالمة</t>
        </is>
      </c>
      <c r="H6" s="17">
        <f>IF(C6&amp;""="","",IFERROR(VLOOKUP(C6,'الإعدادات'!$A$8:$B$13,2,FALSE),""))</f>
        <v/>
      </c>
      <c r="I6" s="18">
        <f>IF(OR(H6="",NOT(ISNUMBER(D6))),"",ROUND(D6*H6,2))</f>
        <v/>
      </c>
      <c r="J6" s="6">
        <f>IF(A6&amp;""="","",IF(OR(C6="تم",C6="خسارة"),"مغلقة",IF(NOT(ISNUMBER(E6)),"بلا موعد",IF(E6&lt;'الإعدادات'!$B$4,"متأخرة",IF(E6='الإعدادات'!$B$4,"اليوم","قادمة")))))</f>
        <v/>
      </c>
      <c r="K6" s="19">
        <f>IF(OR(J6="متأخرة",J6="اليوم"),'الإعدادات'!$B$4-E6,"")</f>
        <v/>
      </c>
      <c r="L6" s="19">
        <f>IF(OR(A6&amp;""="",NOT(ISNUMBER(F6))),"",'الإعدادات'!$B$4-F6)</f>
        <v/>
      </c>
      <c r="M6" s="19">
        <f>IF(OR(J6="متأخرة",J6="اليوم"),COUNTIFS($J$6:$J$505,"متأخرة",$E$6:$E$505,"&lt;"&amp;E6)+COUNTIFS($J$6:$J$505,"اليوم",$E$6:$E$505,"&lt;"&amp;E6)+COUNTIFS($E$6:E6,E6&amp;"",$J$6:J6,J6),"")</f>
        <v/>
      </c>
    </row>
    <row r="7">
      <c r="A7" s="5" t="inlineStr">
        <is>
          <t>مطعم الواحة</t>
        </is>
      </c>
      <c r="B7" s="5" t="inlineStr">
        <is>
          <t>إعلان فيسبوك</t>
        </is>
      </c>
      <c r="C7" s="5" t="inlineStr">
        <is>
          <t>تواصل</t>
        </is>
      </c>
      <c r="D7" s="16" t="n">
        <v>18000</v>
      </c>
      <c r="E7" s="13" t="n">
        <v>46324</v>
      </c>
      <c r="F7" s="13" t="n">
        <v>46322</v>
      </c>
      <c r="G7" s="5" t="n"/>
      <c r="H7" s="17">
        <f>IF(C7&amp;""="","",IFERROR(VLOOKUP(C7,'الإعدادات'!$A$8:$B$13,2,FALSE),""))</f>
        <v/>
      </c>
      <c r="I7" s="18">
        <f>IF(OR(H7="",NOT(ISNUMBER(D7))),"",ROUND(D7*H7,2))</f>
        <v/>
      </c>
      <c r="J7" s="6">
        <f>IF(A7&amp;""="","",IF(OR(C7="تم",C7="خسارة"),"مغلقة",IF(NOT(ISNUMBER(E7)),"بلا موعد",IF(E7&lt;'الإعدادات'!$B$4,"متأخرة",IF(E7='الإعدادات'!$B$4,"اليوم","قادمة")))))</f>
        <v/>
      </c>
      <c r="K7" s="19">
        <f>IF(OR(J7="متأخرة",J7="اليوم"),'الإعدادات'!$B$4-E7,"")</f>
        <v/>
      </c>
      <c r="L7" s="19">
        <f>IF(OR(A7&amp;""="",NOT(ISNUMBER(F7))),"",'الإعدادات'!$B$4-F7)</f>
        <v/>
      </c>
      <c r="M7" s="19">
        <f>IF(OR(J7="متأخرة",J7="اليوم"),COUNTIFS($J$6:$J$505,"متأخرة",$E$6:$E$505,"&lt;"&amp;E7)+COUNTIFS($J$6:$J$505,"اليوم",$E$6:$E$505,"&lt;"&amp;E7)+COUNTIFS($E$6:E7,E7&amp;"",$J$6:J7,J7),"")</f>
        <v/>
      </c>
    </row>
    <row r="8">
      <c r="A8" s="5" t="inlineStr">
        <is>
          <t>عيادة د. هالة</t>
        </is>
      </c>
      <c r="B8" s="5" t="inlineStr">
        <is>
          <t>موقع</t>
        </is>
      </c>
      <c r="C8" s="5" t="inlineStr">
        <is>
          <t>عرض سعر</t>
        </is>
      </c>
      <c r="D8" s="16" t="n">
        <v>60000</v>
      </c>
      <c r="E8" s="13" t="n">
        <v>46331</v>
      </c>
      <c r="F8" s="13" t="n">
        <v>46323</v>
      </c>
      <c r="G8" s="5" t="inlineStr">
        <is>
          <t>أُرسل العرض</t>
        </is>
      </c>
      <c r="H8" s="17">
        <f>IF(C8&amp;""="","",IFERROR(VLOOKUP(C8,'الإعدادات'!$A$8:$B$13,2,FALSE),""))</f>
        <v/>
      </c>
      <c r="I8" s="18">
        <f>IF(OR(H8="",NOT(ISNUMBER(D8))),"",ROUND(D8*H8,2))</f>
        <v/>
      </c>
      <c r="J8" s="6">
        <f>IF(A8&amp;""="","",IF(OR(C8="تم",C8="خسارة"),"مغلقة",IF(NOT(ISNUMBER(E8)),"بلا موعد",IF(E8&lt;'الإعدادات'!$B$4,"متأخرة",IF(E8='الإعدادات'!$B$4,"اليوم","قادمة")))))</f>
        <v/>
      </c>
      <c r="K8" s="19">
        <f>IF(OR(J8="متأخرة",J8="اليوم"),'الإعدادات'!$B$4-E8,"")</f>
        <v/>
      </c>
      <c r="L8" s="19">
        <f>IF(OR(A8&amp;""="",NOT(ISNUMBER(F8))),"",'الإعدادات'!$B$4-F8)</f>
        <v/>
      </c>
      <c r="M8" s="19">
        <f>IF(OR(J8="متأخرة",J8="اليوم"),COUNTIFS($J$6:$J$505,"متأخرة",$E$6:$E$505,"&lt;"&amp;E8)+COUNTIFS($J$6:$J$505,"اليوم",$E$6:$E$505,"&lt;"&amp;E8)+COUNTIFS($E$6:E8,E8&amp;"",$J$6:J8,J8),"")</f>
        <v/>
      </c>
    </row>
    <row r="9">
      <c r="A9" s="5" t="inlineStr">
        <is>
          <t>شركة البدر للتجارة</t>
        </is>
      </c>
      <c r="B9" s="5" t="inlineStr">
        <is>
          <t>ترشيح</t>
        </is>
      </c>
      <c r="C9" s="5" t="inlineStr">
        <is>
          <t>تفاوض</t>
        </is>
      </c>
      <c r="D9" s="16" t="n">
        <v>120000</v>
      </c>
      <c r="E9" s="13" t="n">
        <v>46326</v>
      </c>
      <c r="F9" s="13" t="n">
        <v>46320</v>
      </c>
      <c r="G9" s="5" t="inlineStr">
        <is>
          <t>يطلب خصمًا</t>
        </is>
      </c>
      <c r="H9" s="17">
        <f>IF(C9&amp;""="","",IFERROR(VLOOKUP(C9,'الإعدادات'!$A$8:$B$13,2,FALSE),""))</f>
        <v/>
      </c>
      <c r="I9" s="18">
        <f>IF(OR(H9="",NOT(ISNUMBER(D9))),"",ROUND(D9*H9,2))</f>
        <v/>
      </c>
      <c r="J9" s="6">
        <f>IF(A9&amp;""="","",IF(OR(C9="تم",C9="خسارة"),"مغلقة",IF(NOT(ISNUMBER(E9)),"بلا موعد",IF(E9&lt;'الإعدادات'!$B$4,"متأخرة",IF(E9='الإعدادات'!$B$4,"اليوم","قادمة")))))</f>
        <v/>
      </c>
      <c r="K9" s="19">
        <f>IF(OR(J9="متأخرة",J9="اليوم"),'الإعدادات'!$B$4-E9,"")</f>
        <v/>
      </c>
      <c r="L9" s="19">
        <f>IF(OR(A9&amp;""="",NOT(ISNUMBER(F9))),"",'الإعدادات'!$B$4-F9)</f>
        <v/>
      </c>
      <c r="M9" s="19">
        <f>IF(OR(J9="متأخرة",J9="اليوم"),COUNTIFS($J$6:$J$505,"متأخرة",$E$6:$E$505,"&lt;"&amp;E9)+COUNTIFS($J$6:$J$505,"اليوم",$E$6:$E$505,"&lt;"&amp;E9)+COUNTIFS($E$6:E9,E9&amp;"",$J$6:J9,J9),"")</f>
        <v/>
      </c>
    </row>
    <row r="10">
      <c r="A10" s="5" t="inlineStr">
        <is>
          <t>مصنع الندى للبلاستيك</t>
        </is>
      </c>
      <c r="B10" s="5" t="inlineStr">
        <is>
          <t>معرض</t>
        </is>
      </c>
      <c r="C10" s="5" t="inlineStr">
        <is>
          <t>تفاوض</t>
        </is>
      </c>
      <c r="D10" s="16" t="n">
        <v>250000</v>
      </c>
      <c r="E10" s="13" t="n">
        <v>46329</v>
      </c>
      <c r="F10" s="13" t="n">
        <v>46325</v>
      </c>
      <c r="G10" s="5" t="n"/>
      <c r="H10" s="17">
        <f>IF(C10&amp;""="","",IFERROR(VLOOKUP(C10,'الإعدادات'!$A$8:$B$13,2,FALSE),""))</f>
        <v/>
      </c>
      <c r="I10" s="18">
        <f>IF(OR(H10="",NOT(ISNUMBER(D10))),"",ROUND(D10*H10,2))</f>
        <v/>
      </c>
      <c r="J10" s="6">
        <f>IF(A10&amp;""="","",IF(OR(C10="تم",C10="خسارة"),"مغلقة",IF(NOT(ISNUMBER(E10)),"بلا موعد",IF(E10&lt;'الإعدادات'!$B$4,"متأخرة",IF(E10='الإعدادات'!$B$4,"اليوم","قادمة")))))</f>
        <v/>
      </c>
      <c r="K10" s="19">
        <f>IF(OR(J10="متأخرة",J10="اليوم"),'الإعدادات'!$B$4-E10,"")</f>
        <v/>
      </c>
      <c r="L10" s="19">
        <f>IF(OR(A10&amp;""="",NOT(ISNUMBER(F10))),"",'الإعدادات'!$B$4-F10)</f>
        <v/>
      </c>
      <c r="M10" s="19">
        <f>IF(OR(J10="متأخرة",J10="اليوم"),COUNTIFS($J$6:$J$505,"متأخرة",$E$6:$E$505,"&lt;"&amp;E10)+COUNTIFS($J$6:$J$505,"اليوم",$E$6:$E$505,"&lt;"&amp;E10)+COUNTIFS($E$6:E10,E10&amp;"",$J$6:J10,J10),"")</f>
        <v/>
      </c>
    </row>
    <row r="11">
      <c r="A11" s="5" t="inlineStr">
        <is>
          <t>صالون لمسة</t>
        </is>
      </c>
      <c r="B11" s="5" t="inlineStr">
        <is>
          <t>إعلان فيسبوك</t>
        </is>
      </c>
      <c r="C11" s="5" t="inlineStr">
        <is>
          <t>جديد</t>
        </is>
      </c>
      <c r="D11" s="16" t="n">
        <v>8000</v>
      </c>
      <c r="E11" s="13" t="n">
        <v>46320</v>
      </c>
      <c r="F11" s="13" t="n">
        <v>46319</v>
      </c>
      <c r="G11" s="5" t="n"/>
      <c r="H11" s="17">
        <f>IF(C11&amp;""="","",IFERROR(VLOOKUP(C11,'الإعدادات'!$A$8:$B$13,2,FALSE),""))</f>
        <v/>
      </c>
      <c r="I11" s="18">
        <f>IF(OR(H11="",NOT(ISNUMBER(D11))),"",ROUND(D11*H11,2))</f>
        <v/>
      </c>
      <c r="J11" s="6">
        <f>IF(A11&amp;""="","",IF(OR(C11="تم",C11="خسارة"),"مغلقة",IF(NOT(ISNUMBER(E11)),"بلا موعد",IF(E11&lt;'الإعدادات'!$B$4,"متأخرة",IF(E11='الإعدادات'!$B$4,"اليوم","قادمة")))))</f>
        <v/>
      </c>
      <c r="K11" s="19">
        <f>IF(OR(J11="متأخرة",J11="اليوم"),'الإعدادات'!$B$4-E11,"")</f>
        <v/>
      </c>
      <c r="L11" s="19">
        <f>IF(OR(A11&amp;""="",NOT(ISNUMBER(F11))),"",'الإعدادات'!$B$4-F11)</f>
        <v/>
      </c>
      <c r="M11" s="19">
        <f>IF(OR(J11="متأخرة",J11="اليوم"),COUNTIFS($J$6:$J$505,"متأخرة",$E$6:$E$505,"&lt;"&amp;E11)+COUNTIFS($J$6:$J$505,"اليوم",$E$6:$E$505,"&lt;"&amp;E11)+COUNTIFS($E$6:E11,E11&amp;"",$J$6:J11,J11),"")</f>
        <v/>
      </c>
    </row>
    <row r="12">
      <c r="A12" s="5" t="inlineStr">
        <is>
          <t>مدرسة المستقبل الأهلية</t>
        </is>
      </c>
      <c r="B12" s="5" t="inlineStr">
        <is>
          <t>ترشيح</t>
        </is>
      </c>
      <c r="C12" s="5" t="inlineStr">
        <is>
          <t>عرض سعر</t>
        </is>
      </c>
      <c r="D12" s="16" t="n">
        <v>90000</v>
      </c>
      <c r="E12" s="13" t="n">
        <v>46315</v>
      </c>
      <c r="F12" s="13" t="n">
        <v>46310</v>
      </c>
      <c r="G12" s="5" t="inlineStr">
        <is>
          <t>بانتظار الإدارة</t>
        </is>
      </c>
      <c r="H12" s="17">
        <f>IF(C12&amp;""="","",IFERROR(VLOOKUP(C12,'الإعدادات'!$A$8:$B$13,2,FALSE),""))</f>
        <v/>
      </c>
      <c r="I12" s="18">
        <f>IF(OR(H12="",NOT(ISNUMBER(D12))),"",ROUND(D12*H12,2))</f>
        <v/>
      </c>
      <c r="J12" s="6">
        <f>IF(A12&amp;""="","",IF(OR(C12="تم",C12="خسارة"),"مغلقة",IF(NOT(ISNUMBER(E12)),"بلا موعد",IF(E12&lt;'الإعدادات'!$B$4,"متأخرة",IF(E12='الإعدادات'!$B$4,"اليوم","قادمة")))))</f>
        <v/>
      </c>
      <c r="K12" s="19">
        <f>IF(OR(J12="متأخرة",J12="اليوم"),'الإعدادات'!$B$4-E12,"")</f>
        <v/>
      </c>
      <c r="L12" s="19">
        <f>IF(OR(A12&amp;""="",NOT(ISNUMBER(F12))),"",'الإعدادات'!$B$4-F12)</f>
        <v/>
      </c>
      <c r="M12" s="19">
        <f>IF(OR(J12="متأخرة",J12="اليوم"),COUNTIFS($J$6:$J$505,"متأخرة",$E$6:$E$505,"&lt;"&amp;E12)+COUNTIFS($J$6:$J$505,"اليوم",$E$6:$E$505,"&lt;"&amp;E12)+COUNTIFS($E$6:E12,E12&amp;"",$J$6:J12,J12),"")</f>
        <v/>
      </c>
    </row>
    <row r="13">
      <c r="A13" s="5" t="inlineStr">
        <is>
          <t>متجر السلام</t>
        </is>
      </c>
      <c r="B13" s="5" t="inlineStr">
        <is>
          <t>واتساب</t>
        </is>
      </c>
      <c r="C13" s="5" t="inlineStr">
        <is>
          <t>تواصل</t>
        </is>
      </c>
      <c r="D13" s="16" t="n">
        <v>12000</v>
      </c>
      <c r="E13" s="13" t="n">
        <v>46327</v>
      </c>
      <c r="F13" s="13" t="n">
        <v>46324</v>
      </c>
      <c r="G13" s="5" t="n"/>
      <c r="H13" s="17">
        <f>IF(C13&amp;""="","",IFERROR(VLOOKUP(C13,'الإعدادات'!$A$8:$B$13,2,FALSE),""))</f>
        <v/>
      </c>
      <c r="I13" s="18">
        <f>IF(OR(H13="",NOT(ISNUMBER(D13))),"",ROUND(D13*H13,2))</f>
        <v/>
      </c>
      <c r="J13" s="6">
        <f>IF(A13&amp;""="","",IF(OR(C13="تم",C13="خسارة"),"مغلقة",IF(NOT(ISNUMBER(E13)),"بلا موعد",IF(E13&lt;'الإعدادات'!$B$4,"متأخرة",IF(E13='الإعدادات'!$B$4,"اليوم","قادمة")))))</f>
        <v/>
      </c>
      <c r="K13" s="19">
        <f>IF(OR(J13="متأخرة",J13="اليوم"),'الإعدادات'!$B$4-E13,"")</f>
        <v/>
      </c>
      <c r="L13" s="19">
        <f>IF(OR(A13&amp;""="",NOT(ISNUMBER(F13))),"",'الإعدادات'!$B$4-F13)</f>
        <v/>
      </c>
      <c r="M13" s="19">
        <f>IF(OR(J13="متأخرة",J13="اليوم"),COUNTIFS($J$6:$J$505,"متأخرة",$E$6:$E$505,"&lt;"&amp;E13)+COUNTIFS($J$6:$J$505,"اليوم",$E$6:$E$505,"&lt;"&amp;E13)+COUNTIFS($E$6:E13,E13&amp;"",$J$6:J13,J13),"")</f>
        <v/>
      </c>
    </row>
    <row r="14">
      <c r="A14" s="5" t="inlineStr">
        <is>
          <t>مكتب الرشيد للاستشارات</t>
        </is>
      </c>
      <c r="B14" s="5" t="inlineStr">
        <is>
          <t>موقع</t>
        </is>
      </c>
      <c r="C14" s="5" t="inlineStr">
        <is>
          <t>تم</t>
        </is>
      </c>
      <c r="D14" s="16" t="n">
        <v>35000</v>
      </c>
      <c r="E14" s="13" t="n"/>
      <c r="F14" s="13" t="n">
        <v>46305</v>
      </c>
      <c r="G14" s="5" t="n"/>
      <c r="H14" s="17">
        <f>IF(C14&amp;""="","",IFERROR(VLOOKUP(C14,'الإعدادات'!$A$8:$B$13,2,FALSE),""))</f>
        <v/>
      </c>
      <c r="I14" s="18">
        <f>IF(OR(H14="",NOT(ISNUMBER(D14))),"",ROUND(D14*H14,2))</f>
        <v/>
      </c>
      <c r="J14" s="6">
        <f>IF(A14&amp;""="","",IF(OR(C14="تم",C14="خسارة"),"مغلقة",IF(NOT(ISNUMBER(E14)),"بلا موعد",IF(E14&lt;'الإعدادات'!$B$4,"متأخرة",IF(E14='الإعدادات'!$B$4,"اليوم","قادمة")))))</f>
        <v/>
      </c>
      <c r="K14" s="19">
        <f>IF(OR(J14="متأخرة",J14="اليوم"),'الإعدادات'!$B$4-E14,"")</f>
        <v/>
      </c>
      <c r="L14" s="19">
        <f>IF(OR(A14&amp;""="",NOT(ISNUMBER(F14))),"",'الإعدادات'!$B$4-F14)</f>
        <v/>
      </c>
      <c r="M14" s="19">
        <f>IF(OR(J14="متأخرة",J14="اليوم"),COUNTIFS($J$6:$J$505,"متأخرة",$E$6:$E$505,"&lt;"&amp;E14)+COUNTIFS($J$6:$J$505,"اليوم",$E$6:$E$505,"&lt;"&amp;E14)+COUNTIFS($E$6:E14,E14&amp;"",$J$6:J14,J14),"")</f>
        <v/>
      </c>
    </row>
    <row r="15">
      <c r="A15" s="5" t="inlineStr">
        <is>
          <t>شركة الفجر للشحن</t>
        </is>
      </c>
      <c r="B15" s="5" t="inlineStr">
        <is>
          <t>ترشيح</t>
        </is>
      </c>
      <c r="C15" s="5" t="inlineStr">
        <is>
          <t>تم</t>
        </is>
      </c>
      <c r="D15" s="16" t="n">
        <v>70000</v>
      </c>
      <c r="E15" s="13" t="n"/>
      <c r="F15" s="13" t="n">
        <v>46293</v>
      </c>
      <c r="G15" s="5" t="n"/>
      <c r="H15" s="17">
        <f>IF(C15&amp;""="","",IFERROR(VLOOKUP(C15,'الإعدادات'!$A$8:$B$13,2,FALSE),""))</f>
        <v/>
      </c>
      <c r="I15" s="18">
        <f>IF(OR(H15="",NOT(ISNUMBER(D15))),"",ROUND(D15*H15,2))</f>
        <v/>
      </c>
      <c r="J15" s="6">
        <f>IF(A15&amp;""="","",IF(OR(C15="تم",C15="خسارة"),"مغلقة",IF(NOT(ISNUMBER(E15)),"بلا موعد",IF(E15&lt;'الإعدادات'!$B$4,"متأخرة",IF(E15='الإعدادات'!$B$4,"اليوم","قادمة")))))</f>
        <v/>
      </c>
      <c r="K15" s="19">
        <f>IF(OR(J15="متأخرة",J15="اليوم"),'الإعدادات'!$B$4-E15,"")</f>
        <v/>
      </c>
      <c r="L15" s="19">
        <f>IF(OR(A15&amp;""="",NOT(ISNUMBER(F15))),"",'الإعدادات'!$B$4-F15)</f>
        <v/>
      </c>
      <c r="M15" s="19">
        <f>IF(OR(J15="متأخرة",J15="اليوم"),COUNTIFS($J$6:$J$505,"متأخرة",$E$6:$E$505,"&lt;"&amp;E15)+COUNTIFS($J$6:$J$505,"اليوم",$E$6:$E$505,"&lt;"&amp;E15)+COUNTIFS($E$6:E15,E15&amp;"",$J$6:J15,J15),"")</f>
        <v/>
      </c>
    </row>
    <row r="16">
      <c r="A16" s="5" t="inlineStr">
        <is>
          <t>مخبز الريف</t>
        </is>
      </c>
      <c r="B16" s="5" t="inlineStr">
        <is>
          <t>إعلان فيسبوك</t>
        </is>
      </c>
      <c r="C16" s="5" t="inlineStr">
        <is>
          <t>خسارة</t>
        </is>
      </c>
      <c r="D16" s="16" t="n">
        <v>9000</v>
      </c>
      <c r="E16" s="13" t="n"/>
      <c r="F16" s="13" t="n">
        <v>46300</v>
      </c>
      <c r="G16" s="5" t="inlineStr">
        <is>
          <t>السعر مرتفع</t>
        </is>
      </c>
      <c r="H16" s="17">
        <f>IF(C16&amp;""="","",IFERROR(VLOOKUP(C16,'الإعدادات'!$A$8:$B$13,2,FALSE),""))</f>
        <v/>
      </c>
      <c r="I16" s="18">
        <f>IF(OR(H16="",NOT(ISNUMBER(D16))),"",ROUND(D16*H16,2))</f>
        <v/>
      </c>
      <c r="J16" s="6">
        <f>IF(A16&amp;""="","",IF(OR(C16="تم",C16="خسارة"),"مغلقة",IF(NOT(ISNUMBER(E16)),"بلا موعد",IF(E16&lt;'الإعدادات'!$B$4,"متأخرة",IF(E16='الإعدادات'!$B$4,"اليوم","قادمة")))))</f>
        <v/>
      </c>
      <c r="K16" s="19">
        <f>IF(OR(J16="متأخرة",J16="اليوم"),'الإعدادات'!$B$4-E16,"")</f>
        <v/>
      </c>
      <c r="L16" s="19">
        <f>IF(OR(A16&amp;""="",NOT(ISNUMBER(F16))),"",'الإعدادات'!$B$4-F16)</f>
        <v/>
      </c>
      <c r="M16" s="19">
        <f>IF(OR(J16="متأخرة",J16="اليوم"),COUNTIFS($J$6:$J$505,"متأخرة",$E$6:$E$505,"&lt;"&amp;E16)+COUNTIFS($J$6:$J$505,"اليوم",$E$6:$E$505,"&lt;"&amp;E16)+COUNTIFS($E$6:E16,E16&amp;"",$J$6:J16,J16),"")</f>
        <v/>
      </c>
    </row>
    <row r="17">
      <c r="A17" s="5" t="inlineStr">
        <is>
          <t>معرض النخبة للسيارات</t>
        </is>
      </c>
      <c r="B17" s="5" t="inlineStr">
        <is>
          <t>معرض</t>
        </is>
      </c>
      <c r="C17" s="5" t="inlineStr">
        <is>
          <t>خسارة</t>
        </is>
      </c>
      <c r="D17" s="16" t="n">
        <v>150000</v>
      </c>
      <c r="E17" s="13" t="n"/>
      <c r="F17" s="13" t="n">
        <v>46285</v>
      </c>
      <c r="G17" s="5" t="n"/>
      <c r="H17" s="17">
        <f>IF(C17&amp;""="","",IFERROR(VLOOKUP(C17,'الإعدادات'!$A$8:$B$13,2,FALSE),""))</f>
        <v/>
      </c>
      <c r="I17" s="18">
        <f>IF(OR(H17="",NOT(ISNUMBER(D17))),"",ROUND(D17*H17,2))</f>
        <v/>
      </c>
      <c r="J17" s="6">
        <f>IF(A17&amp;""="","",IF(OR(C17="تم",C17="خسارة"),"مغلقة",IF(NOT(ISNUMBER(E17)),"بلا موعد",IF(E17&lt;'الإعدادات'!$B$4,"متأخرة",IF(E17='الإعدادات'!$B$4,"اليوم","قادمة")))))</f>
        <v/>
      </c>
      <c r="K17" s="19">
        <f>IF(OR(J17="متأخرة",J17="اليوم"),'الإعدادات'!$B$4-E17,"")</f>
        <v/>
      </c>
      <c r="L17" s="19">
        <f>IF(OR(A17&amp;""="",NOT(ISNUMBER(F17))),"",'الإعدادات'!$B$4-F17)</f>
        <v/>
      </c>
      <c r="M17" s="19">
        <f>IF(OR(J17="متأخرة",J17="اليوم"),COUNTIFS($J$6:$J$505,"متأخرة",$E$6:$E$505,"&lt;"&amp;E17)+COUNTIFS($J$6:$J$505,"اليوم",$E$6:$E$505,"&lt;"&amp;E17)+COUNTIFS($E$6:E17,E17&amp;"",$J$6:J17,J17),"")</f>
        <v/>
      </c>
    </row>
    <row r="18">
      <c r="A18" s="5" t="inlineStr">
        <is>
          <t>شركة الأفق للتسويق</t>
        </is>
      </c>
      <c r="B18" s="5" t="inlineStr">
        <is>
          <t>واتساب</t>
        </is>
      </c>
      <c r="C18" s="5" t="inlineStr">
        <is>
          <t>عرض سعر</t>
        </is>
      </c>
      <c r="D18" s="16" t="n">
        <v>40000</v>
      </c>
      <c r="E18" s="13" t="n"/>
      <c r="F18" s="13" t="n">
        <v>46317</v>
      </c>
      <c r="G18" s="5" t="inlineStr">
        <is>
          <t>لم يحدد موعدًا</t>
        </is>
      </c>
      <c r="H18" s="17">
        <f>IF(C18&amp;""="","",IFERROR(VLOOKUP(C18,'الإعدادات'!$A$8:$B$13,2,FALSE),""))</f>
        <v/>
      </c>
      <c r="I18" s="18">
        <f>IF(OR(H18="",NOT(ISNUMBER(D18))),"",ROUND(D18*H18,2))</f>
        <v/>
      </c>
      <c r="J18" s="6">
        <f>IF(A18&amp;""="","",IF(OR(C18="تم",C18="خسارة"),"مغلقة",IF(NOT(ISNUMBER(E18)),"بلا موعد",IF(E18&lt;'الإعدادات'!$B$4,"متأخرة",IF(E18='الإعدادات'!$B$4,"اليوم","قادمة")))))</f>
        <v/>
      </c>
      <c r="K18" s="19">
        <f>IF(OR(J18="متأخرة",J18="اليوم"),'الإعدادات'!$B$4-E18,"")</f>
        <v/>
      </c>
      <c r="L18" s="19">
        <f>IF(OR(A18&amp;""="",NOT(ISNUMBER(F18))),"",'الإعدادات'!$B$4-F18)</f>
        <v/>
      </c>
      <c r="M18" s="19">
        <f>IF(OR(J18="متأخرة",J18="اليوم"),COUNTIFS($J$6:$J$505,"متأخرة",$E$6:$E$505,"&lt;"&amp;E18)+COUNTIFS($J$6:$J$505,"اليوم",$E$6:$E$505,"&lt;"&amp;E18)+COUNTIFS($E$6:E18,E18&amp;"",$J$6:J18,J18),"")</f>
        <v/>
      </c>
    </row>
    <row r="19">
      <c r="A19" s="5" t="inlineStr">
        <is>
          <t>مزرعة الخير</t>
        </is>
      </c>
      <c r="B19" s="5" t="inlineStr">
        <is>
          <t>موقع</t>
        </is>
      </c>
      <c r="C19" s="5" t="inlineStr">
        <is>
          <t>جديد</t>
        </is>
      </c>
      <c r="D19" s="16" t="n">
        <v>22000</v>
      </c>
      <c r="E19" s="13" t="n">
        <v>46336</v>
      </c>
      <c r="F19" s="13" t="n"/>
      <c r="G19" s="5" t="n"/>
      <c r="H19" s="17">
        <f>IF(C19&amp;""="","",IFERROR(VLOOKUP(C19,'الإعدادات'!$A$8:$B$13,2,FALSE),""))</f>
        <v/>
      </c>
      <c r="I19" s="18">
        <f>IF(OR(H19="",NOT(ISNUMBER(D19))),"",ROUND(D19*H19,2))</f>
        <v/>
      </c>
      <c r="J19" s="6">
        <f>IF(A19&amp;""="","",IF(OR(C19="تم",C19="خسارة"),"مغلقة",IF(NOT(ISNUMBER(E19)),"بلا موعد",IF(E19&lt;'الإعدادات'!$B$4,"متأخرة",IF(E19='الإعدادات'!$B$4,"اليوم","قادمة")))))</f>
        <v/>
      </c>
      <c r="K19" s="19">
        <f>IF(OR(J19="متأخرة",J19="اليوم"),'الإعدادات'!$B$4-E19,"")</f>
        <v/>
      </c>
      <c r="L19" s="19">
        <f>IF(OR(A19&amp;""="",NOT(ISNUMBER(F19))),"",'الإعدادات'!$B$4-F19)</f>
        <v/>
      </c>
      <c r="M19" s="19">
        <f>IF(OR(J19="متأخرة",J19="اليوم"),COUNTIFS($J$6:$J$505,"متأخرة",$E$6:$E$505,"&lt;"&amp;E19)+COUNTIFS($J$6:$J$505,"اليوم",$E$6:$E$505,"&lt;"&amp;E19)+COUNTIFS($E$6:E19,E19&amp;"",$J$6:J19,J19),"")</f>
        <v/>
      </c>
    </row>
    <row r="20">
      <c r="A20" s="5" t="inlineStr">
        <is>
          <t>ورشة المهندس سامي</t>
        </is>
      </c>
      <c r="B20" s="5" t="inlineStr">
        <is>
          <t>ترشيح</t>
        </is>
      </c>
      <c r="C20" s="5" t="inlineStr">
        <is>
          <t>تم</t>
        </is>
      </c>
      <c r="D20" s="16" t="n">
        <v>28000</v>
      </c>
      <c r="E20" s="13" t="n"/>
      <c r="F20" s="13" t="n">
        <v>46313</v>
      </c>
      <c r="G20" s="5" t="n"/>
      <c r="H20" s="17">
        <f>IF(C20&amp;""="","",IFERROR(VLOOKUP(C20,'الإعدادات'!$A$8:$B$13,2,FALSE),""))</f>
        <v/>
      </c>
      <c r="I20" s="18">
        <f>IF(OR(H20="",NOT(ISNUMBER(D20))),"",ROUND(D20*H20,2))</f>
        <v/>
      </c>
      <c r="J20" s="6">
        <f>IF(A20&amp;""="","",IF(OR(C20="تم",C20="خسارة"),"مغلقة",IF(NOT(ISNUMBER(E20)),"بلا موعد",IF(E20&lt;'الإعدادات'!$B$4,"متأخرة",IF(E20='الإعدادات'!$B$4,"اليوم","قادمة")))))</f>
        <v/>
      </c>
      <c r="K20" s="19">
        <f>IF(OR(J20="متأخرة",J20="اليوم"),'الإعدادات'!$B$4-E20,"")</f>
        <v/>
      </c>
      <c r="L20" s="19">
        <f>IF(OR(A20&amp;""="",NOT(ISNUMBER(F20))),"",'الإعدادات'!$B$4-F20)</f>
        <v/>
      </c>
      <c r="M20" s="19">
        <f>IF(OR(J20="متأخرة",J20="اليوم"),COUNTIFS($J$6:$J$505,"متأخرة",$E$6:$E$505,"&lt;"&amp;E20)+COUNTIFS($J$6:$J$505,"اليوم",$E$6:$E$505,"&lt;"&amp;E20)+COUNTIFS($E$6:E20,E20&amp;"",$J$6:J20,J20),"")</f>
        <v/>
      </c>
    </row>
    <row r="21">
      <c r="A21" s="5" t="inlineStr">
        <is>
          <t>صيدلية الشفاء الجديدة</t>
        </is>
      </c>
      <c r="B21" s="5" t="inlineStr">
        <is>
          <t>واتساب</t>
        </is>
      </c>
      <c r="C21" s="5" t="inlineStr">
        <is>
          <t>تواصل</t>
        </is>
      </c>
      <c r="D21" s="16" t="n">
        <v>15000</v>
      </c>
      <c r="E21" s="13" t="n">
        <v>46328</v>
      </c>
      <c r="F21" s="13" t="n">
        <v>46326</v>
      </c>
      <c r="G21" s="5" t="n"/>
      <c r="H21" s="17">
        <f>IF(C21&amp;""="","",IFERROR(VLOOKUP(C21,'الإعدادات'!$A$8:$B$13,2,FALSE),""))</f>
        <v/>
      </c>
      <c r="I21" s="18">
        <f>IF(OR(H21="",NOT(ISNUMBER(D21))),"",ROUND(D21*H21,2))</f>
        <v/>
      </c>
      <c r="J21" s="6">
        <f>IF(A21&amp;""="","",IF(OR(C21="تم",C21="خسارة"),"مغلقة",IF(NOT(ISNUMBER(E21)),"بلا موعد",IF(E21&lt;'الإعدادات'!$B$4,"متأخرة",IF(E21='الإعدادات'!$B$4,"اليوم","قادمة")))))</f>
        <v/>
      </c>
      <c r="K21" s="19">
        <f>IF(OR(J21="متأخرة",J21="اليوم"),'الإعدادات'!$B$4-E21,"")</f>
        <v/>
      </c>
      <c r="L21" s="19">
        <f>IF(OR(A21&amp;""="",NOT(ISNUMBER(F21))),"",'الإعدادات'!$B$4-F21)</f>
        <v/>
      </c>
      <c r="M21" s="19">
        <f>IF(OR(J21="متأخرة",J21="اليوم"),COUNTIFS($J$6:$J$505,"متأخرة",$E$6:$E$505,"&lt;"&amp;E21)+COUNTIFS($J$6:$J$505,"اليوم",$E$6:$E$505,"&lt;"&amp;E21)+COUNTIFS($E$6:E21,E21&amp;"",$J$6:J21,J21),"")</f>
        <v/>
      </c>
    </row>
    <row r="22">
      <c r="A22" s="5" t="inlineStr">
        <is>
          <t>مكتب النيل للسياحة</t>
        </is>
      </c>
      <c r="B22" s="5" t="inlineStr">
        <is>
          <t>معرض</t>
        </is>
      </c>
      <c r="C22" s="5" t="inlineStr">
        <is>
          <t>تفاوض</t>
        </is>
      </c>
      <c r="D22" s="16" t="n">
        <v>80000</v>
      </c>
      <c r="E22" s="13" t="n">
        <v>46323</v>
      </c>
      <c r="F22" s="13" t="n">
        <v>46315</v>
      </c>
      <c r="G22" s="5" t="n"/>
      <c r="H22" s="17">
        <f>IF(C22&amp;""="","",IFERROR(VLOOKUP(C22,'الإعدادات'!$A$8:$B$13,2,FALSE),""))</f>
        <v/>
      </c>
      <c r="I22" s="18">
        <f>IF(OR(H22="",NOT(ISNUMBER(D22))),"",ROUND(D22*H22,2))</f>
        <v/>
      </c>
      <c r="J22" s="6">
        <f>IF(A22&amp;""="","",IF(OR(C22="تم",C22="خسارة"),"مغلقة",IF(NOT(ISNUMBER(E22)),"بلا موعد",IF(E22&lt;'الإعدادات'!$B$4,"متأخرة",IF(E22='الإعدادات'!$B$4,"اليوم","قادمة")))))</f>
        <v/>
      </c>
      <c r="K22" s="19">
        <f>IF(OR(J22="متأخرة",J22="اليوم"),'الإعدادات'!$B$4-E22,"")</f>
        <v/>
      </c>
      <c r="L22" s="19">
        <f>IF(OR(A22&amp;""="",NOT(ISNUMBER(F22))),"",'الإعدادات'!$B$4-F22)</f>
        <v/>
      </c>
      <c r="M22" s="19">
        <f>IF(OR(J22="متأخرة",J22="اليوم"),COUNTIFS($J$6:$J$505,"متأخرة",$E$6:$E$505,"&lt;"&amp;E22)+COUNTIFS($J$6:$J$505,"اليوم",$E$6:$E$505,"&lt;"&amp;E22)+COUNTIFS($E$6:E22,E22&amp;"",$J$6:J22,J22),"")</f>
        <v/>
      </c>
    </row>
    <row r="23">
      <c r="A23" s="5" t="inlineStr">
        <is>
          <t>مركز الإبداع للتدريب</t>
        </is>
      </c>
      <c r="B23" s="5" t="inlineStr">
        <is>
          <t>إعلان فيسبوك</t>
        </is>
      </c>
      <c r="C23" s="5" t="inlineStr">
        <is>
          <t>خسارة</t>
        </is>
      </c>
      <c r="D23" s="16" t="n">
        <v>14000</v>
      </c>
      <c r="E23" s="13" t="n"/>
      <c r="F23" s="13" t="n">
        <v>46296</v>
      </c>
      <c r="G23" s="5" t="n"/>
      <c r="H23" s="17">
        <f>IF(C23&amp;""="","",IFERROR(VLOOKUP(C23,'الإعدادات'!$A$8:$B$13,2,FALSE),""))</f>
        <v/>
      </c>
      <c r="I23" s="18">
        <f>IF(OR(H23="",NOT(ISNUMBER(D23))),"",ROUND(D23*H23,2))</f>
        <v/>
      </c>
      <c r="J23" s="6">
        <f>IF(A23&amp;""="","",IF(OR(C23="تم",C23="خسارة"),"مغلقة",IF(NOT(ISNUMBER(E23)),"بلا موعد",IF(E23&lt;'الإعدادات'!$B$4,"متأخرة",IF(E23='الإعدادات'!$B$4,"اليوم","قادمة")))))</f>
        <v/>
      </c>
      <c r="K23" s="19">
        <f>IF(OR(J23="متأخرة",J23="اليوم"),'الإعدادات'!$B$4-E23,"")</f>
        <v/>
      </c>
      <c r="L23" s="19">
        <f>IF(OR(A23&amp;""="",NOT(ISNUMBER(F23))),"",'الإعدادات'!$B$4-F23)</f>
        <v/>
      </c>
      <c r="M23" s="19">
        <f>IF(OR(J23="متأخرة",J23="اليوم"),COUNTIFS($J$6:$J$505,"متأخرة",$E$6:$E$505,"&lt;"&amp;E23)+COUNTIFS($J$6:$J$505,"اليوم",$E$6:$E$505,"&lt;"&amp;E23)+COUNTIFS($E$6:E23,E23&amp;"",$J$6:J23,J23),"")</f>
        <v/>
      </c>
    </row>
    <row r="24">
      <c r="A24" s="5" t="n"/>
      <c r="B24" s="5" t="n"/>
      <c r="C24" s="5" t="n"/>
      <c r="D24" s="16" t="n"/>
      <c r="E24" s="13" t="n"/>
      <c r="F24" s="13" t="n"/>
      <c r="G24" s="5" t="n"/>
      <c r="H24" s="17">
        <f>IF(C24&amp;""="","",IFERROR(VLOOKUP(C24,'الإعدادات'!$A$8:$B$13,2,FALSE),""))</f>
        <v/>
      </c>
      <c r="I24" s="18">
        <f>IF(OR(H24="",NOT(ISNUMBER(D24))),"",ROUND(D24*H24,2))</f>
        <v/>
      </c>
      <c r="J24" s="6">
        <f>IF(A24&amp;""="","",IF(OR(C24="تم",C24="خسارة"),"مغلقة",IF(NOT(ISNUMBER(E24)),"بلا موعد",IF(E24&lt;'الإعدادات'!$B$4,"متأخرة",IF(E24='الإعدادات'!$B$4,"اليوم","قادمة")))))</f>
        <v/>
      </c>
      <c r="K24" s="19">
        <f>IF(OR(J24="متأخرة",J24="اليوم"),'الإعدادات'!$B$4-E24,"")</f>
        <v/>
      </c>
      <c r="L24" s="19">
        <f>IF(OR(A24&amp;""="",NOT(ISNUMBER(F24))),"",'الإعدادات'!$B$4-F24)</f>
        <v/>
      </c>
      <c r="M24" s="19">
        <f>IF(OR(J24="متأخرة",J24="اليوم"),COUNTIFS($J$6:$J$505,"متأخرة",$E$6:$E$505,"&lt;"&amp;E24)+COUNTIFS($J$6:$J$505,"اليوم",$E$6:$E$505,"&lt;"&amp;E24)+COUNTIFS($E$6:E24,E24&amp;"",$J$6:J24,J24),"")</f>
        <v/>
      </c>
    </row>
    <row r="25">
      <c r="A25" s="5" t="n"/>
      <c r="B25" s="5" t="n"/>
      <c r="C25" s="5" t="n"/>
      <c r="D25" s="16" t="n"/>
      <c r="E25" s="13" t="n"/>
      <c r="F25" s="13" t="n"/>
      <c r="G25" s="5" t="n"/>
      <c r="H25" s="17">
        <f>IF(C25&amp;""="","",IFERROR(VLOOKUP(C25,'الإعدادات'!$A$8:$B$13,2,FALSE),""))</f>
        <v/>
      </c>
      <c r="I25" s="18">
        <f>IF(OR(H25="",NOT(ISNUMBER(D25))),"",ROUND(D25*H25,2))</f>
        <v/>
      </c>
      <c r="J25" s="6">
        <f>IF(A25&amp;""="","",IF(OR(C25="تم",C25="خسارة"),"مغلقة",IF(NOT(ISNUMBER(E25)),"بلا موعد",IF(E25&lt;'الإعدادات'!$B$4,"متأخرة",IF(E25='الإعدادات'!$B$4,"اليوم","قادمة")))))</f>
        <v/>
      </c>
      <c r="K25" s="19">
        <f>IF(OR(J25="متأخرة",J25="اليوم"),'الإعدادات'!$B$4-E25,"")</f>
        <v/>
      </c>
      <c r="L25" s="19">
        <f>IF(OR(A25&amp;""="",NOT(ISNUMBER(F25))),"",'الإعدادات'!$B$4-F25)</f>
        <v/>
      </c>
      <c r="M25" s="19">
        <f>IF(OR(J25="متأخرة",J25="اليوم"),COUNTIFS($J$6:$J$505,"متأخرة",$E$6:$E$505,"&lt;"&amp;E25)+COUNTIFS($J$6:$J$505,"اليوم",$E$6:$E$505,"&lt;"&amp;E25)+COUNTIFS($E$6:E25,E25&amp;"",$J$6:J25,J25),"")</f>
        <v/>
      </c>
    </row>
    <row r="26">
      <c r="A26" s="5" t="n"/>
      <c r="B26" s="5" t="n"/>
      <c r="C26" s="5" t="n"/>
      <c r="D26" s="16" t="n"/>
      <c r="E26" s="13" t="n"/>
      <c r="F26" s="13" t="n"/>
      <c r="G26" s="5" t="n"/>
      <c r="H26" s="17">
        <f>IF(C26&amp;""="","",IFERROR(VLOOKUP(C26,'الإعدادات'!$A$8:$B$13,2,FALSE),""))</f>
        <v/>
      </c>
      <c r="I26" s="18">
        <f>IF(OR(H26="",NOT(ISNUMBER(D26))),"",ROUND(D26*H26,2))</f>
        <v/>
      </c>
      <c r="J26" s="6">
        <f>IF(A26&amp;""="","",IF(OR(C26="تم",C26="خسارة"),"مغلقة",IF(NOT(ISNUMBER(E26)),"بلا موعد",IF(E26&lt;'الإعدادات'!$B$4,"متأخرة",IF(E26='الإعدادات'!$B$4,"اليوم","قادمة")))))</f>
        <v/>
      </c>
      <c r="K26" s="19">
        <f>IF(OR(J26="متأخرة",J26="اليوم"),'الإعدادات'!$B$4-E26,"")</f>
        <v/>
      </c>
      <c r="L26" s="19">
        <f>IF(OR(A26&amp;""="",NOT(ISNUMBER(F26))),"",'الإعدادات'!$B$4-F26)</f>
        <v/>
      </c>
      <c r="M26" s="19">
        <f>IF(OR(J26="متأخرة",J26="اليوم"),COUNTIFS($J$6:$J$505,"متأخرة",$E$6:$E$505,"&lt;"&amp;E26)+COUNTIFS($J$6:$J$505,"اليوم",$E$6:$E$505,"&lt;"&amp;E26)+COUNTIFS($E$6:E26,E26&amp;"",$J$6:J26,J26),"")</f>
        <v/>
      </c>
    </row>
    <row r="27">
      <c r="A27" s="5" t="n"/>
      <c r="B27" s="5" t="n"/>
      <c r="C27" s="5" t="n"/>
      <c r="D27" s="16" t="n"/>
      <c r="E27" s="13" t="n"/>
      <c r="F27" s="13" t="n"/>
      <c r="G27" s="5" t="n"/>
      <c r="H27" s="17">
        <f>IF(C27&amp;""="","",IFERROR(VLOOKUP(C27,'الإعدادات'!$A$8:$B$13,2,FALSE),""))</f>
        <v/>
      </c>
      <c r="I27" s="18">
        <f>IF(OR(H27="",NOT(ISNUMBER(D27))),"",ROUND(D27*H27,2))</f>
        <v/>
      </c>
      <c r="J27" s="6">
        <f>IF(A27&amp;""="","",IF(OR(C27="تم",C27="خسارة"),"مغلقة",IF(NOT(ISNUMBER(E27)),"بلا موعد",IF(E27&lt;'الإعدادات'!$B$4,"متأخرة",IF(E27='الإعدادات'!$B$4,"اليوم","قادمة")))))</f>
        <v/>
      </c>
      <c r="K27" s="19">
        <f>IF(OR(J27="متأخرة",J27="اليوم"),'الإعدادات'!$B$4-E27,"")</f>
        <v/>
      </c>
      <c r="L27" s="19">
        <f>IF(OR(A27&amp;""="",NOT(ISNUMBER(F27))),"",'الإعدادات'!$B$4-F27)</f>
        <v/>
      </c>
      <c r="M27" s="19">
        <f>IF(OR(J27="متأخرة",J27="اليوم"),COUNTIFS($J$6:$J$505,"متأخرة",$E$6:$E$505,"&lt;"&amp;E27)+COUNTIFS($J$6:$J$505,"اليوم",$E$6:$E$505,"&lt;"&amp;E27)+COUNTIFS($E$6:E27,E27&amp;"",$J$6:J27,J27),"")</f>
        <v/>
      </c>
    </row>
    <row r="28">
      <c r="A28" s="5" t="n"/>
      <c r="B28" s="5" t="n"/>
      <c r="C28" s="5" t="n"/>
      <c r="D28" s="16" t="n"/>
      <c r="E28" s="13" t="n"/>
      <c r="F28" s="13" t="n"/>
      <c r="G28" s="5" t="n"/>
      <c r="H28" s="17">
        <f>IF(C28&amp;""="","",IFERROR(VLOOKUP(C28,'الإعدادات'!$A$8:$B$13,2,FALSE),""))</f>
        <v/>
      </c>
      <c r="I28" s="18">
        <f>IF(OR(H28="",NOT(ISNUMBER(D28))),"",ROUND(D28*H28,2))</f>
        <v/>
      </c>
      <c r="J28" s="6">
        <f>IF(A28&amp;""="","",IF(OR(C28="تم",C28="خسارة"),"مغلقة",IF(NOT(ISNUMBER(E28)),"بلا موعد",IF(E28&lt;'الإعدادات'!$B$4,"متأخرة",IF(E28='الإعدادات'!$B$4,"اليوم","قادمة")))))</f>
        <v/>
      </c>
      <c r="K28" s="19">
        <f>IF(OR(J28="متأخرة",J28="اليوم"),'الإعدادات'!$B$4-E28,"")</f>
        <v/>
      </c>
      <c r="L28" s="19">
        <f>IF(OR(A28&amp;""="",NOT(ISNUMBER(F28))),"",'الإعدادات'!$B$4-F28)</f>
        <v/>
      </c>
      <c r="M28" s="19">
        <f>IF(OR(J28="متأخرة",J28="اليوم"),COUNTIFS($J$6:$J$505,"متأخرة",$E$6:$E$505,"&lt;"&amp;E28)+COUNTIFS($J$6:$J$505,"اليوم",$E$6:$E$505,"&lt;"&amp;E28)+COUNTIFS($E$6:E28,E28&amp;"",$J$6:J28,J28),"")</f>
        <v/>
      </c>
    </row>
    <row r="29">
      <c r="A29" s="5" t="n"/>
      <c r="B29" s="5" t="n"/>
      <c r="C29" s="5" t="n"/>
      <c r="D29" s="16" t="n"/>
      <c r="E29" s="13" t="n"/>
      <c r="F29" s="13" t="n"/>
      <c r="G29" s="5" t="n"/>
      <c r="H29" s="17">
        <f>IF(C29&amp;""="","",IFERROR(VLOOKUP(C29,'الإعدادات'!$A$8:$B$13,2,FALSE),""))</f>
        <v/>
      </c>
      <c r="I29" s="18">
        <f>IF(OR(H29="",NOT(ISNUMBER(D29))),"",ROUND(D29*H29,2))</f>
        <v/>
      </c>
      <c r="J29" s="6">
        <f>IF(A29&amp;""="","",IF(OR(C29="تم",C29="خسارة"),"مغلقة",IF(NOT(ISNUMBER(E29)),"بلا موعد",IF(E29&lt;'الإعدادات'!$B$4,"متأخرة",IF(E29='الإعدادات'!$B$4,"اليوم","قادمة")))))</f>
        <v/>
      </c>
      <c r="K29" s="19">
        <f>IF(OR(J29="متأخرة",J29="اليوم"),'الإعدادات'!$B$4-E29,"")</f>
        <v/>
      </c>
      <c r="L29" s="19">
        <f>IF(OR(A29&amp;""="",NOT(ISNUMBER(F29))),"",'الإعدادات'!$B$4-F29)</f>
        <v/>
      </c>
      <c r="M29" s="19">
        <f>IF(OR(J29="متأخرة",J29="اليوم"),COUNTIFS($J$6:$J$505,"متأخرة",$E$6:$E$505,"&lt;"&amp;E29)+COUNTIFS($J$6:$J$505,"اليوم",$E$6:$E$505,"&lt;"&amp;E29)+COUNTIFS($E$6:E29,E29&amp;"",$J$6:J29,J29),"")</f>
        <v/>
      </c>
    </row>
    <row r="30">
      <c r="A30" s="5" t="n"/>
      <c r="B30" s="5" t="n"/>
      <c r="C30" s="5" t="n"/>
      <c r="D30" s="16" t="n"/>
      <c r="E30" s="13" t="n"/>
      <c r="F30" s="13" t="n"/>
      <c r="G30" s="5" t="n"/>
      <c r="H30" s="17">
        <f>IF(C30&amp;""="","",IFERROR(VLOOKUP(C30,'الإعدادات'!$A$8:$B$13,2,FALSE),""))</f>
        <v/>
      </c>
      <c r="I30" s="18">
        <f>IF(OR(H30="",NOT(ISNUMBER(D30))),"",ROUND(D30*H30,2))</f>
        <v/>
      </c>
      <c r="J30" s="6">
        <f>IF(A30&amp;""="","",IF(OR(C30="تم",C30="خسارة"),"مغلقة",IF(NOT(ISNUMBER(E30)),"بلا موعد",IF(E30&lt;'الإعدادات'!$B$4,"متأخرة",IF(E30='الإعدادات'!$B$4,"اليوم","قادمة")))))</f>
        <v/>
      </c>
      <c r="K30" s="19">
        <f>IF(OR(J30="متأخرة",J30="اليوم"),'الإعدادات'!$B$4-E30,"")</f>
        <v/>
      </c>
      <c r="L30" s="19">
        <f>IF(OR(A30&amp;""="",NOT(ISNUMBER(F30))),"",'الإعدادات'!$B$4-F30)</f>
        <v/>
      </c>
      <c r="M30" s="19">
        <f>IF(OR(J30="متأخرة",J30="اليوم"),COUNTIFS($J$6:$J$505,"متأخرة",$E$6:$E$505,"&lt;"&amp;E30)+COUNTIFS($J$6:$J$505,"اليوم",$E$6:$E$505,"&lt;"&amp;E30)+COUNTIFS($E$6:E30,E30&amp;"",$J$6:J30,J30),"")</f>
        <v/>
      </c>
    </row>
    <row r="31">
      <c r="A31" s="5" t="n"/>
      <c r="B31" s="5" t="n"/>
      <c r="C31" s="5" t="n"/>
      <c r="D31" s="16" t="n"/>
      <c r="E31" s="13" t="n"/>
      <c r="F31" s="13" t="n"/>
      <c r="G31" s="5" t="n"/>
      <c r="H31" s="17">
        <f>IF(C31&amp;""="","",IFERROR(VLOOKUP(C31,'الإعدادات'!$A$8:$B$13,2,FALSE),""))</f>
        <v/>
      </c>
      <c r="I31" s="18">
        <f>IF(OR(H31="",NOT(ISNUMBER(D31))),"",ROUND(D31*H31,2))</f>
        <v/>
      </c>
      <c r="J31" s="6">
        <f>IF(A31&amp;""="","",IF(OR(C31="تم",C31="خسارة"),"مغلقة",IF(NOT(ISNUMBER(E31)),"بلا موعد",IF(E31&lt;'الإعدادات'!$B$4,"متأخرة",IF(E31='الإعدادات'!$B$4,"اليوم","قادمة")))))</f>
        <v/>
      </c>
      <c r="K31" s="19">
        <f>IF(OR(J31="متأخرة",J31="اليوم"),'الإعدادات'!$B$4-E31,"")</f>
        <v/>
      </c>
      <c r="L31" s="19">
        <f>IF(OR(A31&amp;""="",NOT(ISNUMBER(F31))),"",'الإعدادات'!$B$4-F31)</f>
        <v/>
      </c>
      <c r="M31" s="19">
        <f>IF(OR(J31="متأخرة",J31="اليوم"),COUNTIFS($J$6:$J$505,"متأخرة",$E$6:$E$505,"&lt;"&amp;E31)+COUNTIFS($J$6:$J$505,"اليوم",$E$6:$E$505,"&lt;"&amp;E31)+COUNTIFS($E$6:E31,E31&amp;"",$J$6:J31,J31),"")</f>
        <v/>
      </c>
    </row>
    <row r="32">
      <c r="A32" s="5" t="n"/>
      <c r="B32" s="5" t="n"/>
      <c r="C32" s="5" t="n"/>
      <c r="D32" s="16" t="n"/>
      <c r="E32" s="13" t="n"/>
      <c r="F32" s="13" t="n"/>
      <c r="G32" s="5" t="n"/>
      <c r="H32" s="17">
        <f>IF(C32&amp;""="","",IFERROR(VLOOKUP(C32,'الإعدادات'!$A$8:$B$13,2,FALSE),""))</f>
        <v/>
      </c>
      <c r="I32" s="18">
        <f>IF(OR(H32="",NOT(ISNUMBER(D32))),"",ROUND(D32*H32,2))</f>
        <v/>
      </c>
      <c r="J32" s="6">
        <f>IF(A32&amp;""="","",IF(OR(C32="تم",C32="خسارة"),"مغلقة",IF(NOT(ISNUMBER(E32)),"بلا موعد",IF(E32&lt;'الإعدادات'!$B$4,"متأخرة",IF(E32='الإعدادات'!$B$4,"اليوم","قادمة")))))</f>
        <v/>
      </c>
      <c r="K32" s="19">
        <f>IF(OR(J32="متأخرة",J32="اليوم"),'الإعدادات'!$B$4-E32,"")</f>
        <v/>
      </c>
      <c r="L32" s="19">
        <f>IF(OR(A32&amp;""="",NOT(ISNUMBER(F32))),"",'الإعدادات'!$B$4-F32)</f>
        <v/>
      </c>
      <c r="M32" s="19">
        <f>IF(OR(J32="متأخرة",J32="اليوم"),COUNTIFS($J$6:$J$505,"متأخرة",$E$6:$E$505,"&lt;"&amp;E32)+COUNTIFS($J$6:$J$505,"اليوم",$E$6:$E$505,"&lt;"&amp;E32)+COUNTIFS($E$6:E32,E32&amp;"",$J$6:J32,J32),"")</f>
        <v/>
      </c>
    </row>
    <row r="33">
      <c r="A33" s="5" t="n"/>
      <c r="B33" s="5" t="n"/>
      <c r="C33" s="5" t="n"/>
      <c r="D33" s="16" t="n"/>
      <c r="E33" s="13" t="n"/>
      <c r="F33" s="13" t="n"/>
      <c r="G33" s="5" t="n"/>
      <c r="H33" s="17">
        <f>IF(C33&amp;""="","",IFERROR(VLOOKUP(C33,'الإعدادات'!$A$8:$B$13,2,FALSE),""))</f>
        <v/>
      </c>
      <c r="I33" s="18">
        <f>IF(OR(H33="",NOT(ISNUMBER(D33))),"",ROUND(D33*H33,2))</f>
        <v/>
      </c>
      <c r="J33" s="6">
        <f>IF(A33&amp;""="","",IF(OR(C33="تم",C33="خسارة"),"مغلقة",IF(NOT(ISNUMBER(E33)),"بلا موعد",IF(E33&lt;'الإعدادات'!$B$4,"متأخرة",IF(E33='الإعدادات'!$B$4,"اليوم","قادمة")))))</f>
        <v/>
      </c>
      <c r="K33" s="19">
        <f>IF(OR(J33="متأخرة",J33="اليوم"),'الإعدادات'!$B$4-E33,"")</f>
        <v/>
      </c>
      <c r="L33" s="19">
        <f>IF(OR(A33&amp;""="",NOT(ISNUMBER(F33))),"",'الإعدادات'!$B$4-F33)</f>
        <v/>
      </c>
      <c r="M33" s="19">
        <f>IF(OR(J33="متأخرة",J33="اليوم"),COUNTIFS($J$6:$J$505,"متأخرة",$E$6:$E$505,"&lt;"&amp;E33)+COUNTIFS($J$6:$J$505,"اليوم",$E$6:$E$505,"&lt;"&amp;E33)+COUNTIFS($E$6:E33,E33&amp;"",$J$6:J33,J33),"")</f>
        <v/>
      </c>
    </row>
    <row r="34">
      <c r="A34" s="5" t="n"/>
      <c r="B34" s="5" t="n"/>
      <c r="C34" s="5" t="n"/>
      <c r="D34" s="16" t="n"/>
      <c r="E34" s="13" t="n"/>
      <c r="F34" s="13" t="n"/>
      <c r="G34" s="5" t="n"/>
      <c r="H34" s="17">
        <f>IF(C34&amp;""="","",IFERROR(VLOOKUP(C34,'الإعدادات'!$A$8:$B$13,2,FALSE),""))</f>
        <v/>
      </c>
      <c r="I34" s="18">
        <f>IF(OR(H34="",NOT(ISNUMBER(D34))),"",ROUND(D34*H34,2))</f>
        <v/>
      </c>
      <c r="J34" s="6">
        <f>IF(A34&amp;""="","",IF(OR(C34="تم",C34="خسارة"),"مغلقة",IF(NOT(ISNUMBER(E34)),"بلا موعد",IF(E34&lt;'الإعدادات'!$B$4,"متأخرة",IF(E34='الإعدادات'!$B$4,"اليوم","قادمة")))))</f>
        <v/>
      </c>
      <c r="K34" s="19">
        <f>IF(OR(J34="متأخرة",J34="اليوم"),'الإعدادات'!$B$4-E34,"")</f>
        <v/>
      </c>
      <c r="L34" s="19">
        <f>IF(OR(A34&amp;""="",NOT(ISNUMBER(F34))),"",'الإعدادات'!$B$4-F34)</f>
        <v/>
      </c>
      <c r="M34" s="19">
        <f>IF(OR(J34="متأخرة",J34="اليوم"),COUNTIFS($J$6:$J$505,"متأخرة",$E$6:$E$505,"&lt;"&amp;E34)+COUNTIFS($J$6:$J$505,"اليوم",$E$6:$E$505,"&lt;"&amp;E34)+COUNTIFS($E$6:E34,E34&amp;"",$J$6:J34,J34),"")</f>
        <v/>
      </c>
    </row>
    <row r="35">
      <c r="A35" s="5" t="n"/>
      <c r="B35" s="5" t="n"/>
      <c r="C35" s="5" t="n"/>
      <c r="D35" s="16" t="n"/>
      <c r="E35" s="13" t="n"/>
      <c r="F35" s="13" t="n"/>
      <c r="G35" s="5" t="n"/>
      <c r="H35" s="17">
        <f>IF(C35&amp;""="","",IFERROR(VLOOKUP(C35,'الإعدادات'!$A$8:$B$13,2,FALSE),""))</f>
        <v/>
      </c>
      <c r="I35" s="18">
        <f>IF(OR(H35="",NOT(ISNUMBER(D35))),"",ROUND(D35*H35,2))</f>
        <v/>
      </c>
      <c r="J35" s="6">
        <f>IF(A35&amp;""="","",IF(OR(C35="تم",C35="خسارة"),"مغلقة",IF(NOT(ISNUMBER(E35)),"بلا موعد",IF(E35&lt;'الإعدادات'!$B$4,"متأخرة",IF(E35='الإعدادات'!$B$4,"اليوم","قادمة")))))</f>
        <v/>
      </c>
      <c r="K35" s="19">
        <f>IF(OR(J35="متأخرة",J35="اليوم"),'الإعدادات'!$B$4-E35,"")</f>
        <v/>
      </c>
      <c r="L35" s="19">
        <f>IF(OR(A35&amp;""="",NOT(ISNUMBER(F35))),"",'الإعدادات'!$B$4-F35)</f>
        <v/>
      </c>
      <c r="M35" s="19">
        <f>IF(OR(J35="متأخرة",J35="اليوم"),COUNTIFS($J$6:$J$505,"متأخرة",$E$6:$E$505,"&lt;"&amp;E35)+COUNTIFS($J$6:$J$505,"اليوم",$E$6:$E$505,"&lt;"&amp;E35)+COUNTIFS($E$6:E35,E35&amp;"",$J$6:J35,J35),"")</f>
        <v/>
      </c>
    </row>
    <row r="36">
      <c r="A36" s="5" t="n"/>
      <c r="B36" s="5" t="n"/>
      <c r="C36" s="5" t="n"/>
      <c r="D36" s="16" t="n"/>
      <c r="E36" s="13" t="n"/>
      <c r="F36" s="13" t="n"/>
      <c r="G36" s="5" t="n"/>
      <c r="H36" s="17">
        <f>IF(C36&amp;""="","",IFERROR(VLOOKUP(C36,'الإعدادات'!$A$8:$B$13,2,FALSE),""))</f>
        <v/>
      </c>
      <c r="I36" s="18">
        <f>IF(OR(H36="",NOT(ISNUMBER(D36))),"",ROUND(D36*H36,2))</f>
        <v/>
      </c>
      <c r="J36" s="6">
        <f>IF(A36&amp;""="","",IF(OR(C36="تم",C36="خسارة"),"مغلقة",IF(NOT(ISNUMBER(E36)),"بلا موعد",IF(E36&lt;'الإعدادات'!$B$4,"متأخرة",IF(E36='الإعدادات'!$B$4,"اليوم","قادمة")))))</f>
        <v/>
      </c>
      <c r="K36" s="19">
        <f>IF(OR(J36="متأخرة",J36="اليوم"),'الإعدادات'!$B$4-E36,"")</f>
        <v/>
      </c>
      <c r="L36" s="19">
        <f>IF(OR(A36&amp;""="",NOT(ISNUMBER(F36))),"",'الإعدادات'!$B$4-F36)</f>
        <v/>
      </c>
      <c r="M36" s="19">
        <f>IF(OR(J36="متأخرة",J36="اليوم"),COUNTIFS($J$6:$J$505,"متأخرة",$E$6:$E$505,"&lt;"&amp;E36)+COUNTIFS($J$6:$J$505,"اليوم",$E$6:$E$505,"&lt;"&amp;E36)+COUNTIFS($E$6:E36,E36&amp;"",$J$6:J36,J36),"")</f>
        <v/>
      </c>
    </row>
    <row r="37">
      <c r="A37" s="5" t="n"/>
      <c r="B37" s="5" t="n"/>
      <c r="C37" s="5" t="n"/>
      <c r="D37" s="16" t="n"/>
      <c r="E37" s="13" t="n"/>
      <c r="F37" s="13" t="n"/>
      <c r="G37" s="5" t="n"/>
      <c r="H37" s="17">
        <f>IF(C37&amp;""="","",IFERROR(VLOOKUP(C37,'الإعدادات'!$A$8:$B$13,2,FALSE),""))</f>
        <v/>
      </c>
      <c r="I37" s="18">
        <f>IF(OR(H37="",NOT(ISNUMBER(D37))),"",ROUND(D37*H37,2))</f>
        <v/>
      </c>
      <c r="J37" s="6">
        <f>IF(A37&amp;""="","",IF(OR(C37="تم",C37="خسارة"),"مغلقة",IF(NOT(ISNUMBER(E37)),"بلا موعد",IF(E37&lt;'الإعدادات'!$B$4,"متأخرة",IF(E37='الإعدادات'!$B$4,"اليوم","قادمة")))))</f>
        <v/>
      </c>
      <c r="K37" s="19">
        <f>IF(OR(J37="متأخرة",J37="اليوم"),'الإعدادات'!$B$4-E37,"")</f>
        <v/>
      </c>
      <c r="L37" s="19">
        <f>IF(OR(A37&amp;""="",NOT(ISNUMBER(F37))),"",'الإعدادات'!$B$4-F37)</f>
        <v/>
      </c>
      <c r="M37" s="19">
        <f>IF(OR(J37="متأخرة",J37="اليوم"),COUNTIFS($J$6:$J$505,"متأخرة",$E$6:$E$505,"&lt;"&amp;E37)+COUNTIFS($J$6:$J$505,"اليوم",$E$6:$E$505,"&lt;"&amp;E37)+COUNTIFS($E$6:E37,E37&amp;"",$J$6:J37,J37),"")</f>
        <v/>
      </c>
    </row>
    <row r="38">
      <c r="A38" s="5" t="n"/>
      <c r="B38" s="5" t="n"/>
      <c r="C38" s="5" t="n"/>
      <c r="D38" s="16" t="n"/>
      <c r="E38" s="13" t="n"/>
      <c r="F38" s="13" t="n"/>
      <c r="G38" s="5" t="n"/>
      <c r="H38" s="17">
        <f>IF(C38&amp;""="","",IFERROR(VLOOKUP(C38,'الإعدادات'!$A$8:$B$13,2,FALSE),""))</f>
        <v/>
      </c>
      <c r="I38" s="18">
        <f>IF(OR(H38="",NOT(ISNUMBER(D38))),"",ROUND(D38*H38,2))</f>
        <v/>
      </c>
      <c r="J38" s="6">
        <f>IF(A38&amp;""="","",IF(OR(C38="تم",C38="خسارة"),"مغلقة",IF(NOT(ISNUMBER(E38)),"بلا موعد",IF(E38&lt;'الإعدادات'!$B$4,"متأخرة",IF(E38='الإعدادات'!$B$4,"اليوم","قادمة")))))</f>
        <v/>
      </c>
      <c r="K38" s="19">
        <f>IF(OR(J38="متأخرة",J38="اليوم"),'الإعدادات'!$B$4-E38,"")</f>
        <v/>
      </c>
      <c r="L38" s="19">
        <f>IF(OR(A38&amp;""="",NOT(ISNUMBER(F38))),"",'الإعدادات'!$B$4-F38)</f>
        <v/>
      </c>
      <c r="M38" s="19">
        <f>IF(OR(J38="متأخرة",J38="اليوم"),COUNTIFS($J$6:$J$505,"متأخرة",$E$6:$E$505,"&lt;"&amp;E38)+COUNTIFS($J$6:$J$505,"اليوم",$E$6:$E$505,"&lt;"&amp;E38)+COUNTIFS($E$6:E38,E38&amp;"",$J$6:J38,J38),"")</f>
        <v/>
      </c>
    </row>
    <row r="39">
      <c r="A39" s="5" t="n"/>
      <c r="B39" s="5" t="n"/>
      <c r="C39" s="5" t="n"/>
      <c r="D39" s="16" t="n"/>
      <c r="E39" s="13" t="n"/>
      <c r="F39" s="13" t="n"/>
      <c r="G39" s="5" t="n"/>
      <c r="H39" s="17">
        <f>IF(C39&amp;""="","",IFERROR(VLOOKUP(C39,'الإعدادات'!$A$8:$B$13,2,FALSE),""))</f>
        <v/>
      </c>
      <c r="I39" s="18">
        <f>IF(OR(H39="",NOT(ISNUMBER(D39))),"",ROUND(D39*H39,2))</f>
        <v/>
      </c>
      <c r="J39" s="6">
        <f>IF(A39&amp;""="","",IF(OR(C39="تم",C39="خسارة"),"مغلقة",IF(NOT(ISNUMBER(E39)),"بلا موعد",IF(E39&lt;'الإعدادات'!$B$4,"متأخرة",IF(E39='الإعدادات'!$B$4,"اليوم","قادمة")))))</f>
        <v/>
      </c>
      <c r="K39" s="19">
        <f>IF(OR(J39="متأخرة",J39="اليوم"),'الإعدادات'!$B$4-E39,"")</f>
        <v/>
      </c>
      <c r="L39" s="19">
        <f>IF(OR(A39&amp;""="",NOT(ISNUMBER(F39))),"",'الإعدادات'!$B$4-F39)</f>
        <v/>
      </c>
      <c r="M39" s="19">
        <f>IF(OR(J39="متأخرة",J39="اليوم"),COUNTIFS($J$6:$J$505,"متأخرة",$E$6:$E$505,"&lt;"&amp;E39)+COUNTIFS($J$6:$J$505,"اليوم",$E$6:$E$505,"&lt;"&amp;E39)+COUNTIFS($E$6:E39,E39&amp;"",$J$6:J39,J39),"")</f>
        <v/>
      </c>
    </row>
    <row r="40">
      <c r="A40" s="5" t="n"/>
      <c r="B40" s="5" t="n"/>
      <c r="C40" s="5" t="n"/>
      <c r="D40" s="16" t="n"/>
      <c r="E40" s="13" t="n"/>
      <c r="F40" s="13" t="n"/>
      <c r="G40" s="5" t="n"/>
      <c r="H40" s="17">
        <f>IF(C40&amp;""="","",IFERROR(VLOOKUP(C40,'الإعدادات'!$A$8:$B$13,2,FALSE),""))</f>
        <v/>
      </c>
      <c r="I40" s="18">
        <f>IF(OR(H40="",NOT(ISNUMBER(D40))),"",ROUND(D40*H40,2))</f>
        <v/>
      </c>
      <c r="J40" s="6">
        <f>IF(A40&amp;""="","",IF(OR(C40="تم",C40="خسارة"),"مغلقة",IF(NOT(ISNUMBER(E40)),"بلا موعد",IF(E40&lt;'الإعدادات'!$B$4,"متأخرة",IF(E40='الإعدادات'!$B$4,"اليوم","قادمة")))))</f>
        <v/>
      </c>
      <c r="K40" s="19">
        <f>IF(OR(J40="متأخرة",J40="اليوم"),'الإعدادات'!$B$4-E40,"")</f>
        <v/>
      </c>
      <c r="L40" s="19">
        <f>IF(OR(A40&amp;""="",NOT(ISNUMBER(F40))),"",'الإعدادات'!$B$4-F40)</f>
        <v/>
      </c>
      <c r="M40" s="19">
        <f>IF(OR(J40="متأخرة",J40="اليوم"),COUNTIFS($J$6:$J$505,"متأخرة",$E$6:$E$505,"&lt;"&amp;E40)+COUNTIFS($J$6:$J$505,"اليوم",$E$6:$E$505,"&lt;"&amp;E40)+COUNTIFS($E$6:E40,E40&amp;"",$J$6:J40,J40),"")</f>
        <v/>
      </c>
    </row>
    <row r="41">
      <c r="A41" s="5" t="n"/>
      <c r="B41" s="5" t="n"/>
      <c r="C41" s="5" t="n"/>
      <c r="D41" s="16" t="n"/>
      <c r="E41" s="13" t="n"/>
      <c r="F41" s="13" t="n"/>
      <c r="G41" s="5" t="n"/>
      <c r="H41" s="17">
        <f>IF(C41&amp;""="","",IFERROR(VLOOKUP(C41,'الإعدادات'!$A$8:$B$13,2,FALSE),""))</f>
        <v/>
      </c>
      <c r="I41" s="18">
        <f>IF(OR(H41="",NOT(ISNUMBER(D41))),"",ROUND(D41*H41,2))</f>
        <v/>
      </c>
      <c r="J41" s="6">
        <f>IF(A41&amp;""="","",IF(OR(C41="تم",C41="خسارة"),"مغلقة",IF(NOT(ISNUMBER(E41)),"بلا موعد",IF(E41&lt;'الإعدادات'!$B$4,"متأخرة",IF(E41='الإعدادات'!$B$4,"اليوم","قادمة")))))</f>
        <v/>
      </c>
      <c r="K41" s="19">
        <f>IF(OR(J41="متأخرة",J41="اليوم"),'الإعدادات'!$B$4-E41,"")</f>
        <v/>
      </c>
      <c r="L41" s="19">
        <f>IF(OR(A41&amp;""="",NOT(ISNUMBER(F41))),"",'الإعدادات'!$B$4-F41)</f>
        <v/>
      </c>
      <c r="M41" s="19">
        <f>IF(OR(J41="متأخرة",J41="اليوم"),COUNTIFS($J$6:$J$505,"متأخرة",$E$6:$E$505,"&lt;"&amp;E41)+COUNTIFS($J$6:$J$505,"اليوم",$E$6:$E$505,"&lt;"&amp;E41)+COUNTIFS($E$6:E41,E41&amp;"",$J$6:J41,J41),"")</f>
        <v/>
      </c>
    </row>
    <row r="42">
      <c r="A42" s="5" t="n"/>
      <c r="B42" s="5" t="n"/>
      <c r="C42" s="5" t="n"/>
      <c r="D42" s="16" t="n"/>
      <c r="E42" s="13" t="n"/>
      <c r="F42" s="13" t="n"/>
      <c r="G42" s="5" t="n"/>
      <c r="H42" s="17">
        <f>IF(C42&amp;""="","",IFERROR(VLOOKUP(C42,'الإعدادات'!$A$8:$B$13,2,FALSE),""))</f>
        <v/>
      </c>
      <c r="I42" s="18">
        <f>IF(OR(H42="",NOT(ISNUMBER(D42))),"",ROUND(D42*H42,2))</f>
        <v/>
      </c>
      <c r="J42" s="6">
        <f>IF(A42&amp;""="","",IF(OR(C42="تم",C42="خسارة"),"مغلقة",IF(NOT(ISNUMBER(E42)),"بلا موعد",IF(E42&lt;'الإعدادات'!$B$4,"متأخرة",IF(E42='الإعدادات'!$B$4,"اليوم","قادمة")))))</f>
        <v/>
      </c>
      <c r="K42" s="19">
        <f>IF(OR(J42="متأخرة",J42="اليوم"),'الإعدادات'!$B$4-E42,"")</f>
        <v/>
      </c>
      <c r="L42" s="19">
        <f>IF(OR(A42&amp;""="",NOT(ISNUMBER(F42))),"",'الإعدادات'!$B$4-F42)</f>
        <v/>
      </c>
      <c r="M42" s="19">
        <f>IF(OR(J42="متأخرة",J42="اليوم"),COUNTIFS($J$6:$J$505,"متأخرة",$E$6:$E$505,"&lt;"&amp;E42)+COUNTIFS($J$6:$J$505,"اليوم",$E$6:$E$505,"&lt;"&amp;E42)+COUNTIFS($E$6:E42,E42&amp;"",$J$6:J42,J42),"")</f>
        <v/>
      </c>
    </row>
    <row r="43">
      <c r="A43" s="5" t="n"/>
      <c r="B43" s="5" t="n"/>
      <c r="C43" s="5" t="n"/>
      <c r="D43" s="16" t="n"/>
      <c r="E43" s="13" t="n"/>
      <c r="F43" s="13" t="n"/>
      <c r="G43" s="5" t="n"/>
      <c r="H43" s="17">
        <f>IF(C43&amp;""="","",IFERROR(VLOOKUP(C43,'الإعدادات'!$A$8:$B$13,2,FALSE),""))</f>
        <v/>
      </c>
      <c r="I43" s="18">
        <f>IF(OR(H43="",NOT(ISNUMBER(D43))),"",ROUND(D43*H43,2))</f>
        <v/>
      </c>
      <c r="J43" s="6">
        <f>IF(A43&amp;""="","",IF(OR(C43="تم",C43="خسارة"),"مغلقة",IF(NOT(ISNUMBER(E43)),"بلا موعد",IF(E43&lt;'الإعدادات'!$B$4,"متأخرة",IF(E43='الإعدادات'!$B$4,"اليوم","قادمة")))))</f>
        <v/>
      </c>
      <c r="K43" s="19">
        <f>IF(OR(J43="متأخرة",J43="اليوم"),'الإعدادات'!$B$4-E43,"")</f>
        <v/>
      </c>
      <c r="L43" s="19">
        <f>IF(OR(A43&amp;""="",NOT(ISNUMBER(F43))),"",'الإعدادات'!$B$4-F43)</f>
        <v/>
      </c>
      <c r="M43" s="19">
        <f>IF(OR(J43="متأخرة",J43="اليوم"),COUNTIFS($J$6:$J$505,"متأخرة",$E$6:$E$505,"&lt;"&amp;E43)+COUNTIFS($J$6:$J$505,"اليوم",$E$6:$E$505,"&lt;"&amp;E43)+COUNTIFS($E$6:E43,E43&amp;"",$J$6:J43,J43),"")</f>
        <v/>
      </c>
    </row>
    <row r="44">
      <c r="A44" s="5" t="n"/>
      <c r="B44" s="5" t="n"/>
      <c r="C44" s="5" t="n"/>
      <c r="D44" s="16" t="n"/>
      <c r="E44" s="13" t="n"/>
      <c r="F44" s="13" t="n"/>
      <c r="G44" s="5" t="n"/>
      <c r="H44" s="17">
        <f>IF(C44&amp;""="","",IFERROR(VLOOKUP(C44,'الإعدادات'!$A$8:$B$13,2,FALSE),""))</f>
        <v/>
      </c>
      <c r="I44" s="18">
        <f>IF(OR(H44="",NOT(ISNUMBER(D44))),"",ROUND(D44*H44,2))</f>
        <v/>
      </c>
      <c r="J44" s="6">
        <f>IF(A44&amp;""="","",IF(OR(C44="تم",C44="خسارة"),"مغلقة",IF(NOT(ISNUMBER(E44)),"بلا موعد",IF(E44&lt;'الإعدادات'!$B$4,"متأخرة",IF(E44='الإعدادات'!$B$4,"اليوم","قادمة")))))</f>
        <v/>
      </c>
      <c r="K44" s="19">
        <f>IF(OR(J44="متأخرة",J44="اليوم"),'الإعدادات'!$B$4-E44,"")</f>
        <v/>
      </c>
      <c r="L44" s="19">
        <f>IF(OR(A44&amp;""="",NOT(ISNUMBER(F44))),"",'الإعدادات'!$B$4-F44)</f>
        <v/>
      </c>
      <c r="M44" s="19">
        <f>IF(OR(J44="متأخرة",J44="اليوم"),COUNTIFS($J$6:$J$505,"متأخرة",$E$6:$E$505,"&lt;"&amp;E44)+COUNTIFS($J$6:$J$505,"اليوم",$E$6:$E$505,"&lt;"&amp;E44)+COUNTIFS($E$6:E44,E44&amp;"",$J$6:J44,J44),"")</f>
        <v/>
      </c>
    </row>
    <row r="45">
      <c r="A45" s="5" t="n"/>
      <c r="B45" s="5" t="n"/>
      <c r="C45" s="5" t="n"/>
      <c r="D45" s="16" t="n"/>
      <c r="E45" s="13" t="n"/>
      <c r="F45" s="13" t="n"/>
      <c r="G45" s="5" t="n"/>
      <c r="H45" s="17">
        <f>IF(C45&amp;""="","",IFERROR(VLOOKUP(C45,'الإعدادات'!$A$8:$B$13,2,FALSE),""))</f>
        <v/>
      </c>
      <c r="I45" s="18">
        <f>IF(OR(H45="",NOT(ISNUMBER(D45))),"",ROUND(D45*H45,2))</f>
        <v/>
      </c>
      <c r="J45" s="6">
        <f>IF(A45&amp;""="","",IF(OR(C45="تم",C45="خسارة"),"مغلقة",IF(NOT(ISNUMBER(E45)),"بلا موعد",IF(E45&lt;'الإعدادات'!$B$4,"متأخرة",IF(E45='الإعدادات'!$B$4,"اليوم","قادمة")))))</f>
        <v/>
      </c>
      <c r="K45" s="19">
        <f>IF(OR(J45="متأخرة",J45="اليوم"),'الإعدادات'!$B$4-E45,"")</f>
        <v/>
      </c>
      <c r="L45" s="19">
        <f>IF(OR(A45&amp;""="",NOT(ISNUMBER(F45))),"",'الإعدادات'!$B$4-F45)</f>
        <v/>
      </c>
      <c r="M45" s="19">
        <f>IF(OR(J45="متأخرة",J45="اليوم"),COUNTIFS($J$6:$J$505,"متأخرة",$E$6:$E$505,"&lt;"&amp;E45)+COUNTIFS($J$6:$J$505,"اليوم",$E$6:$E$505,"&lt;"&amp;E45)+COUNTIFS($E$6:E45,E45&amp;"",$J$6:J45,J45),"")</f>
        <v/>
      </c>
    </row>
    <row r="46">
      <c r="A46" s="5" t="n"/>
      <c r="B46" s="5" t="n"/>
      <c r="C46" s="5" t="n"/>
      <c r="D46" s="16" t="n"/>
      <c r="E46" s="13" t="n"/>
      <c r="F46" s="13" t="n"/>
      <c r="G46" s="5" t="n"/>
      <c r="H46" s="17">
        <f>IF(C46&amp;""="","",IFERROR(VLOOKUP(C46,'الإعدادات'!$A$8:$B$13,2,FALSE),""))</f>
        <v/>
      </c>
      <c r="I46" s="18">
        <f>IF(OR(H46="",NOT(ISNUMBER(D46))),"",ROUND(D46*H46,2))</f>
        <v/>
      </c>
      <c r="J46" s="6">
        <f>IF(A46&amp;""="","",IF(OR(C46="تم",C46="خسارة"),"مغلقة",IF(NOT(ISNUMBER(E46)),"بلا موعد",IF(E46&lt;'الإعدادات'!$B$4,"متأخرة",IF(E46='الإعدادات'!$B$4,"اليوم","قادمة")))))</f>
        <v/>
      </c>
      <c r="K46" s="19">
        <f>IF(OR(J46="متأخرة",J46="اليوم"),'الإعدادات'!$B$4-E46,"")</f>
        <v/>
      </c>
      <c r="L46" s="19">
        <f>IF(OR(A46&amp;""="",NOT(ISNUMBER(F46))),"",'الإعدادات'!$B$4-F46)</f>
        <v/>
      </c>
      <c r="M46" s="19">
        <f>IF(OR(J46="متأخرة",J46="اليوم"),COUNTIFS($J$6:$J$505,"متأخرة",$E$6:$E$505,"&lt;"&amp;E46)+COUNTIFS($J$6:$J$505,"اليوم",$E$6:$E$505,"&lt;"&amp;E46)+COUNTIFS($E$6:E46,E46&amp;"",$J$6:J46,J46),"")</f>
        <v/>
      </c>
    </row>
    <row r="47">
      <c r="A47" s="5" t="n"/>
      <c r="B47" s="5" t="n"/>
      <c r="C47" s="5" t="n"/>
      <c r="D47" s="16" t="n"/>
      <c r="E47" s="13" t="n"/>
      <c r="F47" s="13" t="n"/>
      <c r="G47" s="5" t="n"/>
      <c r="H47" s="17">
        <f>IF(C47&amp;""="","",IFERROR(VLOOKUP(C47,'الإعدادات'!$A$8:$B$13,2,FALSE),""))</f>
        <v/>
      </c>
      <c r="I47" s="18">
        <f>IF(OR(H47="",NOT(ISNUMBER(D47))),"",ROUND(D47*H47,2))</f>
        <v/>
      </c>
      <c r="J47" s="6">
        <f>IF(A47&amp;""="","",IF(OR(C47="تم",C47="خسارة"),"مغلقة",IF(NOT(ISNUMBER(E47)),"بلا موعد",IF(E47&lt;'الإعدادات'!$B$4,"متأخرة",IF(E47='الإعدادات'!$B$4,"اليوم","قادمة")))))</f>
        <v/>
      </c>
      <c r="K47" s="19">
        <f>IF(OR(J47="متأخرة",J47="اليوم"),'الإعدادات'!$B$4-E47,"")</f>
        <v/>
      </c>
      <c r="L47" s="19">
        <f>IF(OR(A47&amp;""="",NOT(ISNUMBER(F47))),"",'الإعدادات'!$B$4-F47)</f>
        <v/>
      </c>
      <c r="M47" s="19">
        <f>IF(OR(J47="متأخرة",J47="اليوم"),COUNTIFS($J$6:$J$505,"متأخرة",$E$6:$E$505,"&lt;"&amp;E47)+COUNTIFS($J$6:$J$505,"اليوم",$E$6:$E$505,"&lt;"&amp;E47)+COUNTIFS($E$6:E47,E47&amp;"",$J$6:J47,J47),"")</f>
        <v/>
      </c>
    </row>
    <row r="48">
      <c r="A48" s="5" t="n"/>
      <c r="B48" s="5" t="n"/>
      <c r="C48" s="5" t="n"/>
      <c r="D48" s="16" t="n"/>
      <c r="E48" s="13" t="n"/>
      <c r="F48" s="13" t="n"/>
      <c r="G48" s="5" t="n"/>
      <c r="H48" s="17">
        <f>IF(C48&amp;""="","",IFERROR(VLOOKUP(C48,'الإعدادات'!$A$8:$B$13,2,FALSE),""))</f>
        <v/>
      </c>
      <c r="I48" s="18">
        <f>IF(OR(H48="",NOT(ISNUMBER(D48))),"",ROUND(D48*H48,2))</f>
        <v/>
      </c>
      <c r="J48" s="6">
        <f>IF(A48&amp;""="","",IF(OR(C48="تم",C48="خسارة"),"مغلقة",IF(NOT(ISNUMBER(E48)),"بلا موعد",IF(E48&lt;'الإعدادات'!$B$4,"متأخرة",IF(E48='الإعدادات'!$B$4,"اليوم","قادمة")))))</f>
        <v/>
      </c>
      <c r="K48" s="19">
        <f>IF(OR(J48="متأخرة",J48="اليوم"),'الإعدادات'!$B$4-E48,"")</f>
        <v/>
      </c>
      <c r="L48" s="19">
        <f>IF(OR(A48&amp;""="",NOT(ISNUMBER(F48))),"",'الإعدادات'!$B$4-F48)</f>
        <v/>
      </c>
      <c r="M48" s="19">
        <f>IF(OR(J48="متأخرة",J48="اليوم"),COUNTIFS($J$6:$J$505,"متأخرة",$E$6:$E$505,"&lt;"&amp;E48)+COUNTIFS($J$6:$J$505,"اليوم",$E$6:$E$505,"&lt;"&amp;E48)+COUNTIFS($E$6:E48,E48&amp;"",$J$6:J48,J48),"")</f>
        <v/>
      </c>
    </row>
    <row r="49">
      <c r="A49" s="5" t="n"/>
      <c r="B49" s="5" t="n"/>
      <c r="C49" s="5" t="n"/>
      <c r="D49" s="16" t="n"/>
      <c r="E49" s="13" t="n"/>
      <c r="F49" s="13" t="n"/>
      <c r="G49" s="5" t="n"/>
      <c r="H49" s="17">
        <f>IF(C49&amp;""="","",IFERROR(VLOOKUP(C49,'الإعدادات'!$A$8:$B$13,2,FALSE),""))</f>
        <v/>
      </c>
      <c r="I49" s="18">
        <f>IF(OR(H49="",NOT(ISNUMBER(D49))),"",ROUND(D49*H49,2))</f>
        <v/>
      </c>
      <c r="J49" s="6">
        <f>IF(A49&amp;""="","",IF(OR(C49="تم",C49="خسارة"),"مغلقة",IF(NOT(ISNUMBER(E49)),"بلا موعد",IF(E49&lt;'الإعدادات'!$B$4,"متأخرة",IF(E49='الإعدادات'!$B$4,"اليوم","قادمة")))))</f>
        <v/>
      </c>
      <c r="K49" s="19">
        <f>IF(OR(J49="متأخرة",J49="اليوم"),'الإعدادات'!$B$4-E49,"")</f>
        <v/>
      </c>
      <c r="L49" s="19">
        <f>IF(OR(A49&amp;""="",NOT(ISNUMBER(F49))),"",'الإعدادات'!$B$4-F49)</f>
        <v/>
      </c>
      <c r="M49" s="19">
        <f>IF(OR(J49="متأخرة",J49="اليوم"),COUNTIFS($J$6:$J$505,"متأخرة",$E$6:$E$505,"&lt;"&amp;E49)+COUNTIFS($J$6:$J$505,"اليوم",$E$6:$E$505,"&lt;"&amp;E49)+COUNTIFS($E$6:E49,E49&amp;"",$J$6:J49,J49),"")</f>
        <v/>
      </c>
    </row>
    <row r="50">
      <c r="A50" s="5" t="n"/>
      <c r="B50" s="5" t="n"/>
      <c r="C50" s="5" t="n"/>
      <c r="D50" s="16" t="n"/>
      <c r="E50" s="13" t="n"/>
      <c r="F50" s="13" t="n"/>
      <c r="G50" s="5" t="n"/>
      <c r="H50" s="17">
        <f>IF(C50&amp;""="","",IFERROR(VLOOKUP(C50,'الإعدادات'!$A$8:$B$13,2,FALSE),""))</f>
        <v/>
      </c>
      <c r="I50" s="18">
        <f>IF(OR(H50="",NOT(ISNUMBER(D50))),"",ROUND(D50*H50,2))</f>
        <v/>
      </c>
      <c r="J50" s="6">
        <f>IF(A50&amp;""="","",IF(OR(C50="تم",C50="خسارة"),"مغلقة",IF(NOT(ISNUMBER(E50)),"بلا موعد",IF(E50&lt;'الإعدادات'!$B$4,"متأخرة",IF(E50='الإعدادات'!$B$4,"اليوم","قادمة")))))</f>
        <v/>
      </c>
      <c r="K50" s="19">
        <f>IF(OR(J50="متأخرة",J50="اليوم"),'الإعدادات'!$B$4-E50,"")</f>
        <v/>
      </c>
      <c r="L50" s="19">
        <f>IF(OR(A50&amp;""="",NOT(ISNUMBER(F50))),"",'الإعدادات'!$B$4-F50)</f>
        <v/>
      </c>
      <c r="M50" s="19">
        <f>IF(OR(J50="متأخرة",J50="اليوم"),COUNTIFS($J$6:$J$505,"متأخرة",$E$6:$E$505,"&lt;"&amp;E50)+COUNTIFS($J$6:$J$505,"اليوم",$E$6:$E$505,"&lt;"&amp;E50)+COUNTIFS($E$6:E50,E50&amp;"",$J$6:J50,J50),"")</f>
        <v/>
      </c>
    </row>
    <row r="51">
      <c r="A51" s="5" t="n"/>
      <c r="B51" s="5" t="n"/>
      <c r="C51" s="5" t="n"/>
      <c r="D51" s="16" t="n"/>
      <c r="E51" s="13" t="n"/>
      <c r="F51" s="13" t="n"/>
      <c r="G51" s="5" t="n"/>
      <c r="H51" s="17">
        <f>IF(C51&amp;""="","",IFERROR(VLOOKUP(C51,'الإعدادات'!$A$8:$B$13,2,FALSE),""))</f>
        <v/>
      </c>
      <c r="I51" s="18">
        <f>IF(OR(H51="",NOT(ISNUMBER(D51))),"",ROUND(D51*H51,2))</f>
        <v/>
      </c>
      <c r="J51" s="6">
        <f>IF(A51&amp;""="","",IF(OR(C51="تم",C51="خسارة"),"مغلقة",IF(NOT(ISNUMBER(E51)),"بلا موعد",IF(E51&lt;'الإعدادات'!$B$4,"متأخرة",IF(E51='الإعدادات'!$B$4,"اليوم","قادمة")))))</f>
        <v/>
      </c>
      <c r="K51" s="19">
        <f>IF(OR(J51="متأخرة",J51="اليوم"),'الإعدادات'!$B$4-E51,"")</f>
        <v/>
      </c>
      <c r="L51" s="19">
        <f>IF(OR(A51&amp;""="",NOT(ISNUMBER(F51))),"",'الإعدادات'!$B$4-F51)</f>
        <v/>
      </c>
      <c r="M51" s="19">
        <f>IF(OR(J51="متأخرة",J51="اليوم"),COUNTIFS($J$6:$J$505,"متأخرة",$E$6:$E$505,"&lt;"&amp;E51)+COUNTIFS($J$6:$J$505,"اليوم",$E$6:$E$505,"&lt;"&amp;E51)+COUNTIFS($E$6:E51,E51&amp;"",$J$6:J51,J51),"")</f>
        <v/>
      </c>
    </row>
    <row r="52">
      <c r="A52" s="5" t="n"/>
      <c r="B52" s="5" t="n"/>
      <c r="C52" s="5" t="n"/>
      <c r="D52" s="16" t="n"/>
      <c r="E52" s="13" t="n"/>
      <c r="F52" s="13" t="n"/>
      <c r="G52" s="5" t="n"/>
      <c r="H52" s="17">
        <f>IF(C52&amp;""="","",IFERROR(VLOOKUP(C52,'الإعدادات'!$A$8:$B$13,2,FALSE),""))</f>
        <v/>
      </c>
      <c r="I52" s="18">
        <f>IF(OR(H52="",NOT(ISNUMBER(D52))),"",ROUND(D52*H52,2))</f>
        <v/>
      </c>
      <c r="J52" s="6">
        <f>IF(A52&amp;""="","",IF(OR(C52="تم",C52="خسارة"),"مغلقة",IF(NOT(ISNUMBER(E52)),"بلا موعد",IF(E52&lt;'الإعدادات'!$B$4,"متأخرة",IF(E52='الإعدادات'!$B$4,"اليوم","قادمة")))))</f>
        <v/>
      </c>
      <c r="K52" s="19">
        <f>IF(OR(J52="متأخرة",J52="اليوم"),'الإعدادات'!$B$4-E52,"")</f>
        <v/>
      </c>
      <c r="L52" s="19">
        <f>IF(OR(A52&amp;""="",NOT(ISNUMBER(F52))),"",'الإعدادات'!$B$4-F52)</f>
        <v/>
      </c>
      <c r="M52" s="19">
        <f>IF(OR(J52="متأخرة",J52="اليوم"),COUNTIFS($J$6:$J$505,"متأخرة",$E$6:$E$505,"&lt;"&amp;E52)+COUNTIFS($J$6:$J$505,"اليوم",$E$6:$E$505,"&lt;"&amp;E52)+COUNTIFS($E$6:E52,E52&amp;"",$J$6:J52,J52),"")</f>
        <v/>
      </c>
    </row>
    <row r="53">
      <c r="A53" s="5" t="n"/>
      <c r="B53" s="5" t="n"/>
      <c r="C53" s="5" t="n"/>
      <c r="D53" s="16" t="n"/>
      <c r="E53" s="13" t="n"/>
      <c r="F53" s="13" t="n"/>
      <c r="G53" s="5" t="n"/>
      <c r="H53" s="17">
        <f>IF(C53&amp;""="","",IFERROR(VLOOKUP(C53,'الإعدادات'!$A$8:$B$13,2,FALSE),""))</f>
        <v/>
      </c>
      <c r="I53" s="18">
        <f>IF(OR(H53="",NOT(ISNUMBER(D53))),"",ROUND(D53*H53,2))</f>
        <v/>
      </c>
      <c r="J53" s="6">
        <f>IF(A53&amp;""="","",IF(OR(C53="تم",C53="خسارة"),"مغلقة",IF(NOT(ISNUMBER(E53)),"بلا موعد",IF(E53&lt;'الإعدادات'!$B$4,"متأخرة",IF(E53='الإعدادات'!$B$4,"اليوم","قادمة")))))</f>
        <v/>
      </c>
      <c r="K53" s="19">
        <f>IF(OR(J53="متأخرة",J53="اليوم"),'الإعدادات'!$B$4-E53,"")</f>
        <v/>
      </c>
      <c r="L53" s="19">
        <f>IF(OR(A53&amp;""="",NOT(ISNUMBER(F53))),"",'الإعدادات'!$B$4-F53)</f>
        <v/>
      </c>
      <c r="M53" s="19">
        <f>IF(OR(J53="متأخرة",J53="اليوم"),COUNTIFS($J$6:$J$505,"متأخرة",$E$6:$E$505,"&lt;"&amp;E53)+COUNTIFS($J$6:$J$505,"اليوم",$E$6:$E$505,"&lt;"&amp;E53)+COUNTIFS($E$6:E53,E53&amp;"",$J$6:J53,J53),"")</f>
        <v/>
      </c>
    </row>
    <row r="54">
      <c r="A54" s="5" t="n"/>
      <c r="B54" s="5" t="n"/>
      <c r="C54" s="5" t="n"/>
      <c r="D54" s="16" t="n"/>
      <c r="E54" s="13" t="n"/>
      <c r="F54" s="13" t="n"/>
      <c r="G54" s="5" t="n"/>
      <c r="H54" s="17">
        <f>IF(C54&amp;""="","",IFERROR(VLOOKUP(C54,'الإعدادات'!$A$8:$B$13,2,FALSE),""))</f>
        <v/>
      </c>
      <c r="I54" s="18">
        <f>IF(OR(H54="",NOT(ISNUMBER(D54))),"",ROUND(D54*H54,2))</f>
        <v/>
      </c>
      <c r="J54" s="6">
        <f>IF(A54&amp;""="","",IF(OR(C54="تم",C54="خسارة"),"مغلقة",IF(NOT(ISNUMBER(E54)),"بلا موعد",IF(E54&lt;'الإعدادات'!$B$4,"متأخرة",IF(E54='الإعدادات'!$B$4,"اليوم","قادمة")))))</f>
        <v/>
      </c>
      <c r="K54" s="19">
        <f>IF(OR(J54="متأخرة",J54="اليوم"),'الإعدادات'!$B$4-E54,"")</f>
        <v/>
      </c>
      <c r="L54" s="19">
        <f>IF(OR(A54&amp;""="",NOT(ISNUMBER(F54))),"",'الإعدادات'!$B$4-F54)</f>
        <v/>
      </c>
      <c r="M54" s="19">
        <f>IF(OR(J54="متأخرة",J54="اليوم"),COUNTIFS($J$6:$J$505,"متأخرة",$E$6:$E$505,"&lt;"&amp;E54)+COUNTIFS($J$6:$J$505,"اليوم",$E$6:$E$505,"&lt;"&amp;E54)+COUNTIFS($E$6:E54,E54&amp;"",$J$6:J54,J54),"")</f>
        <v/>
      </c>
    </row>
    <row r="55">
      <c r="A55" s="5" t="n"/>
      <c r="B55" s="5" t="n"/>
      <c r="C55" s="5" t="n"/>
      <c r="D55" s="16" t="n"/>
      <c r="E55" s="13" t="n"/>
      <c r="F55" s="13" t="n"/>
      <c r="G55" s="5" t="n"/>
      <c r="H55" s="17">
        <f>IF(C55&amp;""="","",IFERROR(VLOOKUP(C55,'الإعدادات'!$A$8:$B$13,2,FALSE),""))</f>
        <v/>
      </c>
      <c r="I55" s="18">
        <f>IF(OR(H55="",NOT(ISNUMBER(D55))),"",ROUND(D55*H55,2))</f>
        <v/>
      </c>
      <c r="J55" s="6">
        <f>IF(A55&amp;""="","",IF(OR(C55="تم",C55="خسارة"),"مغلقة",IF(NOT(ISNUMBER(E55)),"بلا موعد",IF(E55&lt;'الإعدادات'!$B$4,"متأخرة",IF(E55='الإعدادات'!$B$4,"اليوم","قادمة")))))</f>
        <v/>
      </c>
      <c r="K55" s="19">
        <f>IF(OR(J55="متأخرة",J55="اليوم"),'الإعدادات'!$B$4-E55,"")</f>
        <v/>
      </c>
      <c r="L55" s="19">
        <f>IF(OR(A55&amp;""="",NOT(ISNUMBER(F55))),"",'الإعدادات'!$B$4-F55)</f>
        <v/>
      </c>
      <c r="M55" s="19">
        <f>IF(OR(J55="متأخرة",J55="اليوم"),COUNTIFS($J$6:$J$505,"متأخرة",$E$6:$E$505,"&lt;"&amp;E55)+COUNTIFS($J$6:$J$505,"اليوم",$E$6:$E$505,"&lt;"&amp;E55)+COUNTIFS($E$6:E55,E55&amp;"",$J$6:J55,J55),"")</f>
        <v/>
      </c>
    </row>
    <row r="56">
      <c r="A56" s="5" t="n"/>
      <c r="B56" s="5" t="n"/>
      <c r="C56" s="5" t="n"/>
      <c r="D56" s="16" t="n"/>
      <c r="E56" s="13" t="n"/>
      <c r="F56" s="13" t="n"/>
      <c r="G56" s="5" t="n"/>
      <c r="H56" s="17">
        <f>IF(C56&amp;""="","",IFERROR(VLOOKUP(C56,'الإعدادات'!$A$8:$B$13,2,FALSE),""))</f>
        <v/>
      </c>
      <c r="I56" s="18">
        <f>IF(OR(H56="",NOT(ISNUMBER(D56))),"",ROUND(D56*H56,2))</f>
        <v/>
      </c>
      <c r="J56" s="6">
        <f>IF(A56&amp;""="","",IF(OR(C56="تم",C56="خسارة"),"مغلقة",IF(NOT(ISNUMBER(E56)),"بلا موعد",IF(E56&lt;'الإعدادات'!$B$4,"متأخرة",IF(E56='الإعدادات'!$B$4,"اليوم","قادمة")))))</f>
        <v/>
      </c>
      <c r="K56" s="19">
        <f>IF(OR(J56="متأخرة",J56="اليوم"),'الإعدادات'!$B$4-E56,"")</f>
        <v/>
      </c>
      <c r="L56" s="19">
        <f>IF(OR(A56&amp;""="",NOT(ISNUMBER(F56))),"",'الإعدادات'!$B$4-F56)</f>
        <v/>
      </c>
      <c r="M56" s="19">
        <f>IF(OR(J56="متأخرة",J56="اليوم"),COUNTIFS($J$6:$J$505,"متأخرة",$E$6:$E$505,"&lt;"&amp;E56)+COUNTIFS($J$6:$J$505,"اليوم",$E$6:$E$505,"&lt;"&amp;E56)+COUNTIFS($E$6:E56,E56&amp;"",$J$6:J56,J56),"")</f>
        <v/>
      </c>
    </row>
    <row r="57">
      <c r="A57" s="5" t="n"/>
      <c r="B57" s="5" t="n"/>
      <c r="C57" s="5" t="n"/>
      <c r="D57" s="16" t="n"/>
      <c r="E57" s="13" t="n"/>
      <c r="F57" s="13" t="n"/>
      <c r="G57" s="5" t="n"/>
      <c r="H57" s="17">
        <f>IF(C57&amp;""="","",IFERROR(VLOOKUP(C57,'الإعدادات'!$A$8:$B$13,2,FALSE),""))</f>
        <v/>
      </c>
      <c r="I57" s="18">
        <f>IF(OR(H57="",NOT(ISNUMBER(D57))),"",ROUND(D57*H57,2))</f>
        <v/>
      </c>
      <c r="J57" s="6">
        <f>IF(A57&amp;""="","",IF(OR(C57="تم",C57="خسارة"),"مغلقة",IF(NOT(ISNUMBER(E57)),"بلا موعد",IF(E57&lt;'الإعدادات'!$B$4,"متأخرة",IF(E57='الإعدادات'!$B$4,"اليوم","قادمة")))))</f>
        <v/>
      </c>
      <c r="K57" s="19">
        <f>IF(OR(J57="متأخرة",J57="اليوم"),'الإعدادات'!$B$4-E57,"")</f>
        <v/>
      </c>
      <c r="L57" s="19">
        <f>IF(OR(A57&amp;""="",NOT(ISNUMBER(F57))),"",'الإعدادات'!$B$4-F57)</f>
        <v/>
      </c>
      <c r="M57" s="19">
        <f>IF(OR(J57="متأخرة",J57="اليوم"),COUNTIFS($J$6:$J$505,"متأخرة",$E$6:$E$505,"&lt;"&amp;E57)+COUNTIFS($J$6:$J$505,"اليوم",$E$6:$E$505,"&lt;"&amp;E57)+COUNTIFS($E$6:E57,E57&amp;"",$J$6:J57,J57),"")</f>
        <v/>
      </c>
    </row>
    <row r="58">
      <c r="A58" s="5" t="n"/>
      <c r="B58" s="5" t="n"/>
      <c r="C58" s="5" t="n"/>
      <c r="D58" s="16" t="n"/>
      <c r="E58" s="13" t="n"/>
      <c r="F58" s="13" t="n"/>
      <c r="G58" s="5" t="n"/>
      <c r="H58" s="17">
        <f>IF(C58&amp;""="","",IFERROR(VLOOKUP(C58,'الإعدادات'!$A$8:$B$13,2,FALSE),""))</f>
        <v/>
      </c>
      <c r="I58" s="18">
        <f>IF(OR(H58="",NOT(ISNUMBER(D58))),"",ROUND(D58*H58,2))</f>
        <v/>
      </c>
      <c r="J58" s="6">
        <f>IF(A58&amp;""="","",IF(OR(C58="تم",C58="خسارة"),"مغلقة",IF(NOT(ISNUMBER(E58)),"بلا موعد",IF(E58&lt;'الإعدادات'!$B$4,"متأخرة",IF(E58='الإعدادات'!$B$4,"اليوم","قادمة")))))</f>
        <v/>
      </c>
      <c r="K58" s="19">
        <f>IF(OR(J58="متأخرة",J58="اليوم"),'الإعدادات'!$B$4-E58,"")</f>
        <v/>
      </c>
      <c r="L58" s="19">
        <f>IF(OR(A58&amp;""="",NOT(ISNUMBER(F58))),"",'الإعدادات'!$B$4-F58)</f>
        <v/>
      </c>
      <c r="M58" s="19">
        <f>IF(OR(J58="متأخرة",J58="اليوم"),COUNTIFS($J$6:$J$505,"متأخرة",$E$6:$E$505,"&lt;"&amp;E58)+COUNTIFS($J$6:$J$505,"اليوم",$E$6:$E$505,"&lt;"&amp;E58)+COUNTIFS($E$6:E58,E58&amp;"",$J$6:J58,J58),"")</f>
        <v/>
      </c>
    </row>
    <row r="59">
      <c r="A59" s="5" t="n"/>
      <c r="B59" s="5" t="n"/>
      <c r="C59" s="5" t="n"/>
      <c r="D59" s="16" t="n"/>
      <c r="E59" s="13" t="n"/>
      <c r="F59" s="13" t="n"/>
      <c r="G59" s="5" t="n"/>
      <c r="H59" s="17">
        <f>IF(C59&amp;""="","",IFERROR(VLOOKUP(C59,'الإعدادات'!$A$8:$B$13,2,FALSE),""))</f>
        <v/>
      </c>
      <c r="I59" s="18">
        <f>IF(OR(H59="",NOT(ISNUMBER(D59))),"",ROUND(D59*H59,2))</f>
        <v/>
      </c>
      <c r="J59" s="6">
        <f>IF(A59&amp;""="","",IF(OR(C59="تم",C59="خسارة"),"مغلقة",IF(NOT(ISNUMBER(E59)),"بلا موعد",IF(E59&lt;'الإعدادات'!$B$4,"متأخرة",IF(E59='الإعدادات'!$B$4,"اليوم","قادمة")))))</f>
        <v/>
      </c>
      <c r="K59" s="19">
        <f>IF(OR(J59="متأخرة",J59="اليوم"),'الإعدادات'!$B$4-E59,"")</f>
        <v/>
      </c>
      <c r="L59" s="19">
        <f>IF(OR(A59&amp;""="",NOT(ISNUMBER(F59))),"",'الإعدادات'!$B$4-F59)</f>
        <v/>
      </c>
      <c r="M59" s="19">
        <f>IF(OR(J59="متأخرة",J59="اليوم"),COUNTIFS($J$6:$J$505,"متأخرة",$E$6:$E$505,"&lt;"&amp;E59)+COUNTIFS($J$6:$J$505,"اليوم",$E$6:$E$505,"&lt;"&amp;E59)+COUNTIFS($E$6:E59,E59&amp;"",$J$6:J59,J59),"")</f>
        <v/>
      </c>
    </row>
    <row r="60">
      <c r="A60" s="5" t="n"/>
      <c r="B60" s="5" t="n"/>
      <c r="C60" s="5" t="n"/>
      <c r="D60" s="16" t="n"/>
      <c r="E60" s="13" t="n"/>
      <c r="F60" s="13" t="n"/>
      <c r="G60" s="5" t="n"/>
      <c r="H60" s="17">
        <f>IF(C60&amp;""="","",IFERROR(VLOOKUP(C60,'الإعدادات'!$A$8:$B$13,2,FALSE),""))</f>
        <v/>
      </c>
      <c r="I60" s="18">
        <f>IF(OR(H60="",NOT(ISNUMBER(D60))),"",ROUND(D60*H60,2))</f>
        <v/>
      </c>
      <c r="J60" s="6">
        <f>IF(A60&amp;""="","",IF(OR(C60="تم",C60="خسارة"),"مغلقة",IF(NOT(ISNUMBER(E60)),"بلا موعد",IF(E60&lt;'الإعدادات'!$B$4,"متأخرة",IF(E60='الإعدادات'!$B$4,"اليوم","قادمة")))))</f>
        <v/>
      </c>
      <c r="K60" s="19">
        <f>IF(OR(J60="متأخرة",J60="اليوم"),'الإعدادات'!$B$4-E60,"")</f>
        <v/>
      </c>
      <c r="L60" s="19">
        <f>IF(OR(A60&amp;""="",NOT(ISNUMBER(F60))),"",'الإعدادات'!$B$4-F60)</f>
        <v/>
      </c>
      <c r="M60" s="19">
        <f>IF(OR(J60="متأخرة",J60="اليوم"),COUNTIFS($J$6:$J$505,"متأخرة",$E$6:$E$505,"&lt;"&amp;E60)+COUNTIFS($J$6:$J$505,"اليوم",$E$6:$E$505,"&lt;"&amp;E60)+COUNTIFS($E$6:E60,E60&amp;"",$J$6:J60,J60),"")</f>
        <v/>
      </c>
    </row>
    <row r="61">
      <c r="A61" s="5" t="n"/>
      <c r="B61" s="5" t="n"/>
      <c r="C61" s="5" t="n"/>
      <c r="D61" s="16" t="n"/>
      <c r="E61" s="13" t="n"/>
      <c r="F61" s="13" t="n"/>
      <c r="G61" s="5" t="n"/>
      <c r="H61" s="17">
        <f>IF(C61&amp;""="","",IFERROR(VLOOKUP(C61,'الإعدادات'!$A$8:$B$13,2,FALSE),""))</f>
        <v/>
      </c>
      <c r="I61" s="18">
        <f>IF(OR(H61="",NOT(ISNUMBER(D61))),"",ROUND(D61*H61,2))</f>
        <v/>
      </c>
      <c r="J61" s="6">
        <f>IF(A61&amp;""="","",IF(OR(C61="تم",C61="خسارة"),"مغلقة",IF(NOT(ISNUMBER(E61)),"بلا موعد",IF(E61&lt;'الإعدادات'!$B$4,"متأخرة",IF(E61='الإعدادات'!$B$4,"اليوم","قادمة")))))</f>
        <v/>
      </c>
      <c r="K61" s="19">
        <f>IF(OR(J61="متأخرة",J61="اليوم"),'الإعدادات'!$B$4-E61,"")</f>
        <v/>
      </c>
      <c r="L61" s="19">
        <f>IF(OR(A61&amp;""="",NOT(ISNUMBER(F61))),"",'الإعدادات'!$B$4-F61)</f>
        <v/>
      </c>
      <c r="M61" s="19">
        <f>IF(OR(J61="متأخرة",J61="اليوم"),COUNTIFS($J$6:$J$505,"متأخرة",$E$6:$E$505,"&lt;"&amp;E61)+COUNTIFS($J$6:$J$505,"اليوم",$E$6:$E$505,"&lt;"&amp;E61)+COUNTIFS($E$6:E61,E61&amp;"",$J$6:J61,J61),"")</f>
        <v/>
      </c>
    </row>
    <row r="62">
      <c r="A62" s="5" t="n"/>
      <c r="B62" s="5" t="n"/>
      <c r="C62" s="5" t="n"/>
      <c r="D62" s="16" t="n"/>
      <c r="E62" s="13" t="n"/>
      <c r="F62" s="13" t="n"/>
      <c r="G62" s="5" t="n"/>
      <c r="H62" s="17">
        <f>IF(C62&amp;""="","",IFERROR(VLOOKUP(C62,'الإعدادات'!$A$8:$B$13,2,FALSE),""))</f>
        <v/>
      </c>
      <c r="I62" s="18">
        <f>IF(OR(H62="",NOT(ISNUMBER(D62))),"",ROUND(D62*H62,2))</f>
        <v/>
      </c>
      <c r="J62" s="6">
        <f>IF(A62&amp;""="","",IF(OR(C62="تم",C62="خسارة"),"مغلقة",IF(NOT(ISNUMBER(E62)),"بلا موعد",IF(E62&lt;'الإعدادات'!$B$4,"متأخرة",IF(E62='الإعدادات'!$B$4,"اليوم","قادمة")))))</f>
        <v/>
      </c>
      <c r="K62" s="19">
        <f>IF(OR(J62="متأخرة",J62="اليوم"),'الإعدادات'!$B$4-E62,"")</f>
        <v/>
      </c>
      <c r="L62" s="19">
        <f>IF(OR(A62&amp;""="",NOT(ISNUMBER(F62))),"",'الإعدادات'!$B$4-F62)</f>
        <v/>
      </c>
      <c r="M62" s="19">
        <f>IF(OR(J62="متأخرة",J62="اليوم"),COUNTIFS($J$6:$J$505,"متأخرة",$E$6:$E$505,"&lt;"&amp;E62)+COUNTIFS($J$6:$J$505,"اليوم",$E$6:$E$505,"&lt;"&amp;E62)+COUNTIFS($E$6:E62,E62&amp;"",$J$6:J62,J62),"")</f>
        <v/>
      </c>
    </row>
    <row r="63">
      <c r="A63" s="5" t="n"/>
      <c r="B63" s="5" t="n"/>
      <c r="C63" s="5" t="n"/>
      <c r="D63" s="16" t="n"/>
      <c r="E63" s="13" t="n"/>
      <c r="F63" s="13" t="n"/>
      <c r="G63" s="5" t="n"/>
      <c r="H63" s="17">
        <f>IF(C63&amp;""="","",IFERROR(VLOOKUP(C63,'الإعدادات'!$A$8:$B$13,2,FALSE),""))</f>
        <v/>
      </c>
      <c r="I63" s="18">
        <f>IF(OR(H63="",NOT(ISNUMBER(D63))),"",ROUND(D63*H63,2))</f>
        <v/>
      </c>
      <c r="J63" s="6">
        <f>IF(A63&amp;""="","",IF(OR(C63="تم",C63="خسارة"),"مغلقة",IF(NOT(ISNUMBER(E63)),"بلا موعد",IF(E63&lt;'الإعدادات'!$B$4,"متأخرة",IF(E63='الإعدادات'!$B$4,"اليوم","قادمة")))))</f>
        <v/>
      </c>
      <c r="K63" s="19">
        <f>IF(OR(J63="متأخرة",J63="اليوم"),'الإعدادات'!$B$4-E63,"")</f>
        <v/>
      </c>
      <c r="L63" s="19">
        <f>IF(OR(A63&amp;""="",NOT(ISNUMBER(F63))),"",'الإعدادات'!$B$4-F63)</f>
        <v/>
      </c>
      <c r="M63" s="19">
        <f>IF(OR(J63="متأخرة",J63="اليوم"),COUNTIFS($J$6:$J$505,"متأخرة",$E$6:$E$505,"&lt;"&amp;E63)+COUNTIFS($J$6:$J$505,"اليوم",$E$6:$E$505,"&lt;"&amp;E63)+COUNTIFS($E$6:E63,E63&amp;"",$J$6:J63,J63),"")</f>
        <v/>
      </c>
    </row>
    <row r="64">
      <c r="A64" s="5" t="n"/>
      <c r="B64" s="5" t="n"/>
      <c r="C64" s="5" t="n"/>
      <c r="D64" s="16" t="n"/>
      <c r="E64" s="13" t="n"/>
      <c r="F64" s="13" t="n"/>
      <c r="G64" s="5" t="n"/>
      <c r="H64" s="17">
        <f>IF(C64&amp;""="","",IFERROR(VLOOKUP(C64,'الإعدادات'!$A$8:$B$13,2,FALSE),""))</f>
        <v/>
      </c>
      <c r="I64" s="18">
        <f>IF(OR(H64="",NOT(ISNUMBER(D64))),"",ROUND(D64*H64,2))</f>
        <v/>
      </c>
      <c r="J64" s="6">
        <f>IF(A64&amp;""="","",IF(OR(C64="تم",C64="خسارة"),"مغلقة",IF(NOT(ISNUMBER(E64)),"بلا موعد",IF(E64&lt;'الإعدادات'!$B$4,"متأخرة",IF(E64='الإعدادات'!$B$4,"اليوم","قادمة")))))</f>
        <v/>
      </c>
      <c r="K64" s="19">
        <f>IF(OR(J64="متأخرة",J64="اليوم"),'الإعدادات'!$B$4-E64,"")</f>
        <v/>
      </c>
      <c r="L64" s="19">
        <f>IF(OR(A64&amp;""="",NOT(ISNUMBER(F64))),"",'الإعدادات'!$B$4-F64)</f>
        <v/>
      </c>
      <c r="M64" s="19">
        <f>IF(OR(J64="متأخرة",J64="اليوم"),COUNTIFS($J$6:$J$505,"متأخرة",$E$6:$E$505,"&lt;"&amp;E64)+COUNTIFS($J$6:$J$505,"اليوم",$E$6:$E$505,"&lt;"&amp;E64)+COUNTIFS($E$6:E64,E64&amp;"",$J$6:J64,J64),"")</f>
        <v/>
      </c>
    </row>
    <row r="65">
      <c r="A65" s="5" t="n"/>
      <c r="B65" s="5" t="n"/>
      <c r="C65" s="5" t="n"/>
      <c r="D65" s="16" t="n"/>
      <c r="E65" s="13" t="n"/>
      <c r="F65" s="13" t="n"/>
      <c r="G65" s="5" t="n"/>
      <c r="H65" s="17">
        <f>IF(C65&amp;""="","",IFERROR(VLOOKUP(C65,'الإعدادات'!$A$8:$B$13,2,FALSE),""))</f>
        <v/>
      </c>
      <c r="I65" s="18">
        <f>IF(OR(H65="",NOT(ISNUMBER(D65))),"",ROUND(D65*H65,2))</f>
        <v/>
      </c>
      <c r="J65" s="6">
        <f>IF(A65&amp;""="","",IF(OR(C65="تم",C65="خسارة"),"مغلقة",IF(NOT(ISNUMBER(E65)),"بلا موعد",IF(E65&lt;'الإعدادات'!$B$4,"متأخرة",IF(E65='الإعدادات'!$B$4,"اليوم","قادمة")))))</f>
        <v/>
      </c>
      <c r="K65" s="19">
        <f>IF(OR(J65="متأخرة",J65="اليوم"),'الإعدادات'!$B$4-E65,"")</f>
        <v/>
      </c>
      <c r="L65" s="19">
        <f>IF(OR(A65&amp;""="",NOT(ISNUMBER(F65))),"",'الإعدادات'!$B$4-F65)</f>
        <v/>
      </c>
      <c r="M65" s="19">
        <f>IF(OR(J65="متأخرة",J65="اليوم"),COUNTIFS($J$6:$J$505,"متأخرة",$E$6:$E$505,"&lt;"&amp;E65)+COUNTIFS($J$6:$J$505,"اليوم",$E$6:$E$505,"&lt;"&amp;E65)+COUNTIFS($E$6:E65,E65&amp;"",$J$6:J65,J65),"")</f>
        <v/>
      </c>
    </row>
    <row r="66">
      <c r="A66" s="5" t="n"/>
      <c r="B66" s="5" t="n"/>
      <c r="C66" s="5" t="n"/>
      <c r="D66" s="16" t="n"/>
      <c r="E66" s="13" t="n"/>
      <c r="F66" s="13" t="n"/>
      <c r="G66" s="5" t="n"/>
      <c r="H66" s="17">
        <f>IF(C66&amp;""="","",IFERROR(VLOOKUP(C66,'الإعدادات'!$A$8:$B$13,2,FALSE),""))</f>
        <v/>
      </c>
      <c r="I66" s="18">
        <f>IF(OR(H66="",NOT(ISNUMBER(D66))),"",ROUND(D66*H66,2))</f>
        <v/>
      </c>
      <c r="J66" s="6">
        <f>IF(A66&amp;""="","",IF(OR(C66="تم",C66="خسارة"),"مغلقة",IF(NOT(ISNUMBER(E66)),"بلا موعد",IF(E66&lt;'الإعدادات'!$B$4,"متأخرة",IF(E66='الإعدادات'!$B$4,"اليوم","قادمة")))))</f>
        <v/>
      </c>
      <c r="K66" s="19">
        <f>IF(OR(J66="متأخرة",J66="اليوم"),'الإعدادات'!$B$4-E66,"")</f>
        <v/>
      </c>
      <c r="L66" s="19">
        <f>IF(OR(A66&amp;""="",NOT(ISNUMBER(F66))),"",'الإعدادات'!$B$4-F66)</f>
        <v/>
      </c>
      <c r="M66" s="19">
        <f>IF(OR(J66="متأخرة",J66="اليوم"),COUNTIFS($J$6:$J$505,"متأخرة",$E$6:$E$505,"&lt;"&amp;E66)+COUNTIFS($J$6:$J$505,"اليوم",$E$6:$E$505,"&lt;"&amp;E66)+COUNTIFS($E$6:E66,E66&amp;"",$J$6:J66,J66),"")</f>
        <v/>
      </c>
    </row>
    <row r="67">
      <c r="A67" s="5" t="n"/>
      <c r="B67" s="5" t="n"/>
      <c r="C67" s="5" t="n"/>
      <c r="D67" s="16" t="n"/>
      <c r="E67" s="13" t="n"/>
      <c r="F67" s="13" t="n"/>
      <c r="G67" s="5" t="n"/>
      <c r="H67" s="17">
        <f>IF(C67&amp;""="","",IFERROR(VLOOKUP(C67,'الإعدادات'!$A$8:$B$13,2,FALSE),""))</f>
        <v/>
      </c>
      <c r="I67" s="18">
        <f>IF(OR(H67="",NOT(ISNUMBER(D67))),"",ROUND(D67*H67,2))</f>
        <v/>
      </c>
      <c r="J67" s="6">
        <f>IF(A67&amp;""="","",IF(OR(C67="تم",C67="خسارة"),"مغلقة",IF(NOT(ISNUMBER(E67)),"بلا موعد",IF(E67&lt;'الإعدادات'!$B$4,"متأخرة",IF(E67='الإعدادات'!$B$4,"اليوم","قادمة")))))</f>
        <v/>
      </c>
      <c r="K67" s="19">
        <f>IF(OR(J67="متأخرة",J67="اليوم"),'الإعدادات'!$B$4-E67,"")</f>
        <v/>
      </c>
      <c r="L67" s="19">
        <f>IF(OR(A67&amp;""="",NOT(ISNUMBER(F67))),"",'الإعدادات'!$B$4-F67)</f>
        <v/>
      </c>
      <c r="M67" s="19">
        <f>IF(OR(J67="متأخرة",J67="اليوم"),COUNTIFS($J$6:$J$505,"متأخرة",$E$6:$E$505,"&lt;"&amp;E67)+COUNTIFS($J$6:$J$505,"اليوم",$E$6:$E$505,"&lt;"&amp;E67)+COUNTIFS($E$6:E67,E67&amp;"",$J$6:J67,J67),"")</f>
        <v/>
      </c>
    </row>
    <row r="68">
      <c r="A68" s="5" t="n"/>
      <c r="B68" s="5" t="n"/>
      <c r="C68" s="5" t="n"/>
      <c r="D68" s="16" t="n"/>
      <c r="E68" s="13" t="n"/>
      <c r="F68" s="13" t="n"/>
      <c r="G68" s="5" t="n"/>
      <c r="H68" s="17">
        <f>IF(C68&amp;""="","",IFERROR(VLOOKUP(C68,'الإعدادات'!$A$8:$B$13,2,FALSE),""))</f>
        <v/>
      </c>
      <c r="I68" s="18">
        <f>IF(OR(H68="",NOT(ISNUMBER(D68))),"",ROUND(D68*H68,2))</f>
        <v/>
      </c>
      <c r="J68" s="6">
        <f>IF(A68&amp;""="","",IF(OR(C68="تم",C68="خسارة"),"مغلقة",IF(NOT(ISNUMBER(E68)),"بلا موعد",IF(E68&lt;'الإعدادات'!$B$4,"متأخرة",IF(E68='الإعدادات'!$B$4,"اليوم","قادمة")))))</f>
        <v/>
      </c>
      <c r="K68" s="19">
        <f>IF(OR(J68="متأخرة",J68="اليوم"),'الإعدادات'!$B$4-E68,"")</f>
        <v/>
      </c>
      <c r="L68" s="19">
        <f>IF(OR(A68&amp;""="",NOT(ISNUMBER(F68))),"",'الإعدادات'!$B$4-F68)</f>
        <v/>
      </c>
      <c r="M68" s="19">
        <f>IF(OR(J68="متأخرة",J68="اليوم"),COUNTIFS($J$6:$J$505,"متأخرة",$E$6:$E$505,"&lt;"&amp;E68)+COUNTIFS($J$6:$J$505,"اليوم",$E$6:$E$505,"&lt;"&amp;E68)+COUNTIFS($E$6:E68,E68&amp;"",$J$6:J68,J68),"")</f>
        <v/>
      </c>
    </row>
    <row r="69">
      <c r="A69" s="5" t="n"/>
      <c r="B69" s="5" t="n"/>
      <c r="C69" s="5" t="n"/>
      <c r="D69" s="16" t="n"/>
      <c r="E69" s="13" t="n"/>
      <c r="F69" s="13" t="n"/>
      <c r="G69" s="5" t="n"/>
      <c r="H69" s="17">
        <f>IF(C69&amp;""="","",IFERROR(VLOOKUP(C69,'الإعدادات'!$A$8:$B$13,2,FALSE),""))</f>
        <v/>
      </c>
      <c r="I69" s="18">
        <f>IF(OR(H69="",NOT(ISNUMBER(D69))),"",ROUND(D69*H69,2))</f>
        <v/>
      </c>
      <c r="J69" s="6">
        <f>IF(A69&amp;""="","",IF(OR(C69="تم",C69="خسارة"),"مغلقة",IF(NOT(ISNUMBER(E69)),"بلا موعد",IF(E69&lt;'الإعدادات'!$B$4,"متأخرة",IF(E69='الإعدادات'!$B$4,"اليوم","قادمة")))))</f>
        <v/>
      </c>
      <c r="K69" s="19">
        <f>IF(OR(J69="متأخرة",J69="اليوم"),'الإعدادات'!$B$4-E69,"")</f>
        <v/>
      </c>
      <c r="L69" s="19">
        <f>IF(OR(A69&amp;""="",NOT(ISNUMBER(F69))),"",'الإعدادات'!$B$4-F69)</f>
        <v/>
      </c>
      <c r="M69" s="19">
        <f>IF(OR(J69="متأخرة",J69="اليوم"),COUNTIFS($J$6:$J$505,"متأخرة",$E$6:$E$505,"&lt;"&amp;E69)+COUNTIFS($J$6:$J$505,"اليوم",$E$6:$E$505,"&lt;"&amp;E69)+COUNTIFS($E$6:E69,E69&amp;"",$J$6:J69,J69),"")</f>
        <v/>
      </c>
    </row>
    <row r="70">
      <c r="A70" s="5" t="n"/>
      <c r="B70" s="5" t="n"/>
      <c r="C70" s="5" t="n"/>
      <c r="D70" s="16" t="n"/>
      <c r="E70" s="13" t="n"/>
      <c r="F70" s="13" t="n"/>
      <c r="G70" s="5" t="n"/>
      <c r="H70" s="17">
        <f>IF(C70&amp;""="","",IFERROR(VLOOKUP(C70,'الإعدادات'!$A$8:$B$13,2,FALSE),""))</f>
        <v/>
      </c>
      <c r="I70" s="18">
        <f>IF(OR(H70="",NOT(ISNUMBER(D70))),"",ROUND(D70*H70,2))</f>
        <v/>
      </c>
      <c r="J70" s="6">
        <f>IF(A70&amp;""="","",IF(OR(C70="تم",C70="خسارة"),"مغلقة",IF(NOT(ISNUMBER(E70)),"بلا موعد",IF(E70&lt;'الإعدادات'!$B$4,"متأخرة",IF(E70='الإعدادات'!$B$4,"اليوم","قادمة")))))</f>
        <v/>
      </c>
      <c r="K70" s="19">
        <f>IF(OR(J70="متأخرة",J70="اليوم"),'الإعدادات'!$B$4-E70,"")</f>
        <v/>
      </c>
      <c r="L70" s="19">
        <f>IF(OR(A70&amp;""="",NOT(ISNUMBER(F70))),"",'الإعدادات'!$B$4-F70)</f>
        <v/>
      </c>
      <c r="M70" s="19">
        <f>IF(OR(J70="متأخرة",J70="اليوم"),COUNTIFS($J$6:$J$505,"متأخرة",$E$6:$E$505,"&lt;"&amp;E70)+COUNTIFS($J$6:$J$505,"اليوم",$E$6:$E$505,"&lt;"&amp;E70)+COUNTIFS($E$6:E70,E70&amp;"",$J$6:J70,J70),"")</f>
        <v/>
      </c>
    </row>
    <row r="71">
      <c r="A71" s="5" t="n"/>
      <c r="B71" s="5" t="n"/>
      <c r="C71" s="5" t="n"/>
      <c r="D71" s="16" t="n"/>
      <c r="E71" s="13" t="n"/>
      <c r="F71" s="13" t="n"/>
      <c r="G71" s="5" t="n"/>
      <c r="H71" s="17">
        <f>IF(C71&amp;""="","",IFERROR(VLOOKUP(C71,'الإعدادات'!$A$8:$B$13,2,FALSE),""))</f>
        <v/>
      </c>
      <c r="I71" s="18">
        <f>IF(OR(H71="",NOT(ISNUMBER(D71))),"",ROUND(D71*H71,2))</f>
        <v/>
      </c>
      <c r="J71" s="6">
        <f>IF(A71&amp;""="","",IF(OR(C71="تم",C71="خسارة"),"مغلقة",IF(NOT(ISNUMBER(E71)),"بلا موعد",IF(E71&lt;'الإعدادات'!$B$4,"متأخرة",IF(E71='الإعدادات'!$B$4,"اليوم","قادمة")))))</f>
        <v/>
      </c>
      <c r="K71" s="19">
        <f>IF(OR(J71="متأخرة",J71="اليوم"),'الإعدادات'!$B$4-E71,"")</f>
        <v/>
      </c>
      <c r="L71" s="19">
        <f>IF(OR(A71&amp;""="",NOT(ISNUMBER(F71))),"",'الإعدادات'!$B$4-F71)</f>
        <v/>
      </c>
      <c r="M71" s="19">
        <f>IF(OR(J71="متأخرة",J71="اليوم"),COUNTIFS($J$6:$J$505,"متأخرة",$E$6:$E$505,"&lt;"&amp;E71)+COUNTIFS($J$6:$J$505,"اليوم",$E$6:$E$505,"&lt;"&amp;E71)+COUNTIFS($E$6:E71,E71&amp;"",$J$6:J71,J71),"")</f>
        <v/>
      </c>
    </row>
    <row r="72">
      <c r="A72" s="5" t="n"/>
      <c r="B72" s="5" t="n"/>
      <c r="C72" s="5" t="n"/>
      <c r="D72" s="16" t="n"/>
      <c r="E72" s="13" t="n"/>
      <c r="F72" s="13" t="n"/>
      <c r="G72" s="5" t="n"/>
      <c r="H72" s="17">
        <f>IF(C72&amp;""="","",IFERROR(VLOOKUP(C72,'الإعدادات'!$A$8:$B$13,2,FALSE),""))</f>
        <v/>
      </c>
      <c r="I72" s="18">
        <f>IF(OR(H72="",NOT(ISNUMBER(D72))),"",ROUND(D72*H72,2))</f>
        <v/>
      </c>
      <c r="J72" s="6">
        <f>IF(A72&amp;""="","",IF(OR(C72="تم",C72="خسارة"),"مغلقة",IF(NOT(ISNUMBER(E72)),"بلا موعد",IF(E72&lt;'الإعدادات'!$B$4,"متأخرة",IF(E72='الإعدادات'!$B$4,"اليوم","قادمة")))))</f>
        <v/>
      </c>
      <c r="K72" s="19">
        <f>IF(OR(J72="متأخرة",J72="اليوم"),'الإعدادات'!$B$4-E72,"")</f>
        <v/>
      </c>
      <c r="L72" s="19">
        <f>IF(OR(A72&amp;""="",NOT(ISNUMBER(F72))),"",'الإعدادات'!$B$4-F72)</f>
        <v/>
      </c>
      <c r="M72" s="19">
        <f>IF(OR(J72="متأخرة",J72="اليوم"),COUNTIFS($J$6:$J$505,"متأخرة",$E$6:$E$505,"&lt;"&amp;E72)+COUNTIFS($J$6:$J$505,"اليوم",$E$6:$E$505,"&lt;"&amp;E72)+COUNTIFS($E$6:E72,E72&amp;"",$J$6:J72,J72),"")</f>
        <v/>
      </c>
    </row>
    <row r="73">
      <c r="A73" s="5" t="n"/>
      <c r="B73" s="5" t="n"/>
      <c r="C73" s="5" t="n"/>
      <c r="D73" s="16" t="n"/>
      <c r="E73" s="13" t="n"/>
      <c r="F73" s="13" t="n"/>
      <c r="G73" s="5" t="n"/>
      <c r="H73" s="17">
        <f>IF(C73&amp;""="","",IFERROR(VLOOKUP(C73,'الإعدادات'!$A$8:$B$13,2,FALSE),""))</f>
        <v/>
      </c>
      <c r="I73" s="18">
        <f>IF(OR(H73="",NOT(ISNUMBER(D73))),"",ROUND(D73*H73,2))</f>
        <v/>
      </c>
      <c r="J73" s="6">
        <f>IF(A73&amp;""="","",IF(OR(C73="تم",C73="خسارة"),"مغلقة",IF(NOT(ISNUMBER(E73)),"بلا موعد",IF(E73&lt;'الإعدادات'!$B$4,"متأخرة",IF(E73='الإعدادات'!$B$4,"اليوم","قادمة")))))</f>
        <v/>
      </c>
      <c r="K73" s="19">
        <f>IF(OR(J73="متأخرة",J73="اليوم"),'الإعدادات'!$B$4-E73,"")</f>
        <v/>
      </c>
      <c r="L73" s="19">
        <f>IF(OR(A73&amp;""="",NOT(ISNUMBER(F73))),"",'الإعدادات'!$B$4-F73)</f>
        <v/>
      </c>
      <c r="M73" s="19">
        <f>IF(OR(J73="متأخرة",J73="اليوم"),COUNTIFS($J$6:$J$505,"متأخرة",$E$6:$E$505,"&lt;"&amp;E73)+COUNTIFS($J$6:$J$505,"اليوم",$E$6:$E$505,"&lt;"&amp;E73)+COUNTIFS($E$6:E73,E73&amp;"",$J$6:J73,J73),"")</f>
        <v/>
      </c>
    </row>
    <row r="74">
      <c r="A74" s="5" t="n"/>
      <c r="B74" s="5" t="n"/>
      <c r="C74" s="5" t="n"/>
      <c r="D74" s="16" t="n"/>
      <c r="E74" s="13" t="n"/>
      <c r="F74" s="13" t="n"/>
      <c r="G74" s="5" t="n"/>
      <c r="H74" s="17">
        <f>IF(C74&amp;""="","",IFERROR(VLOOKUP(C74,'الإعدادات'!$A$8:$B$13,2,FALSE),""))</f>
        <v/>
      </c>
      <c r="I74" s="18">
        <f>IF(OR(H74="",NOT(ISNUMBER(D74))),"",ROUND(D74*H74,2))</f>
        <v/>
      </c>
      <c r="J74" s="6">
        <f>IF(A74&amp;""="","",IF(OR(C74="تم",C74="خسارة"),"مغلقة",IF(NOT(ISNUMBER(E74)),"بلا موعد",IF(E74&lt;'الإعدادات'!$B$4,"متأخرة",IF(E74='الإعدادات'!$B$4,"اليوم","قادمة")))))</f>
        <v/>
      </c>
      <c r="K74" s="19">
        <f>IF(OR(J74="متأخرة",J74="اليوم"),'الإعدادات'!$B$4-E74,"")</f>
        <v/>
      </c>
      <c r="L74" s="19">
        <f>IF(OR(A74&amp;""="",NOT(ISNUMBER(F74))),"",'الإعدادات'!$B$4-F74)</f>
        <v/>
      </c>
      <c r="M74" s="19">
        <f>IF(OR(J74="متأخرة",J74="اليوم"),COUNTIFS($J$6:$J$505,"متأخرة",$E$6:$E$505,"&lt;"&amp;E74)+COUNTIFS($J$6:$J$505,"اليوم",$E$6:$E$505,"&lt;"&amp;E74)+COUNTIFS($E$6:E74,E74&amp;"",$J$6:J74,J74),"")</f>
        <v/>
      </c>
    </row>
    <row r="75">
      <c r="A75" s="5" t="n"/>
      <c r="B75" s="5" t="n"/>
      <c r="C75" s="5" t="n"/>
      <c r="D75" s="16" t="n"/>
      <c r="E75" s="13" t="n"/>
      <c r="F75" s="13" t="n"/>
      <c r="G75" s="5" t="n"/>
      <c r="H75" s="17">
        <f>IF(C75&amp;""="","",IFERROR(VLOOKUP(C75,'الإعدادات'!$A$8:$B$13,2,FALSE),""))</f>
        <v/>
      </c>
      <c r="I75" s="18">
        <f>IF(OR(H75="",NOT(ISNUMBER(D75))),"",ROUND(D75*H75,2))</f>
        <v/>
      </c>
      <c r="J75" s="6">
        <f>IF(A75&amp;""="","",IF(OR(C75="تم",C75="خسارة"),"مغلقة",IF(NOT(ISNUMBER(E75)),"بلا موعد",IF(E75&lt;'الإعدادات'!$B$4,"متأخرة",IF(E75='الإعدادات'!$B$4,"اليوم","قادمة")))))</f>
        <v/>
      </c>
      <c r="K75" s="19">
        <f>IF(OR(J75="متأخرة",J75="اليوم"),'الإعدادات'!$B$4-E75,"")</f>
        <v/>
      </c>
      <c r="L75" s="19">
        <f>IF(OR(A75&amp;""="",NOT(ISNUMBER(F75))),"",'الإعدادات'!$B$4-F75)</f>
        <v/>
      </c>
      <c r="M75" s="19">
        <f>IF(OR(J75="متأخرة",J75="اليوم"),COUNTIFS($J$6:$J$505,"متأخرة",$E$6:$E$505,"&lt;"&amp;E75)+COUNTIFS($J$6:$J$505,"اليوم",$E$6:$E$505,"&lt;"&amp;E75)+COUNTIFS($E$6:E75,E75&amp;"",$J$6:J75,J75),"")</f>
        <v/>
      </c>
    </row>
    <row r="76">
      <c r="A76" s="5" t="n"/>
      <c r="B76" s="5" t="n"/>
      <c r="C76" s="5" t="n"/>
      <c r="D76" s="16" t="n"/>
      <c r="E76" s="13" t="n"/>
      <c r="F76" s="13" t="n"/>
      <c r="G76" s="5" t="n"/>
      <c r="H76" s="17">
        <f>IF(C76&amp;""="","",IFERROR(VLOOKUP(C76,'الإعدادات'!$A$8:$B$13,2,FALSE),""))</f>
        <v/>
      </c>
      <c r="I76" s="18">
        <f>IF(OR(H76="",NOT(ISNUMBER(D76))),"",ROUND(D76*H76,2))</f>
        <v/>
      </c>
      <c r="J76" s="6">
        <f>IF(A76&amp;""="","",IF(OR(C76="تم",C76="خسارة"),"مغلقة",IF(NOT(ISNUMBER(E76)),"بلا موعد",IF(E76&lt;'الإعدادات'!$B$4,"متأخرة",IF(E76='الإعدادات'!$B$4,"اليوم","قادمة")))))</f>
        <v/>
      </c>
      <c r="K76" s="19">
        <f>IF(OR(J76="متأخرة",J76="اليوم"),'الإعدادات'!$B$4-E76,"")</f>
        <v/>
      </c>
      <c r="L76" s="19">
        <f>IF(OR(A76&amp;""="",NOT(ISNUMBER(F76))),"",'الإعدادات'!$B$4-F76)</f>
        <v/>
      </c>
      <c r="M76" s="19">
        <f>IF(OR(J76="متأخرة",J76="اليوم"),COUNTIFS($J$6:$J$505,"متأخرة",$E$6:$E$505,"&lt;"&amp;E76)+COUNTIFS($J$6:$J$505,"اليوم",$E$6:$E$505,"&lt;"&amp;E76)+COUNTIFS($E$6:E76,E76&amp;"",$J$6:J76,J76),"")</f>
        <v/>
      </c>
    </row>
    <row r="77">
      <c r="A77" s="5" t="n"/>
      <c r="B77" s="5" t="n"/>
      <c r="C77" s="5" t="n"/>
      <c r="D77" s="16" t="n"/>
      <c r="E77" s="13" t="n"/>
      <c r="F77" s="13" t="n"/>
      <c r="G77" s="5" t="n"/>
      <c r="H77" s="17">
        <f>IF(C77&amp;""="","",IFERROR(VLOOKUP(C77,'الإعدادات'!$A$8:$B$13,2,FALSE),""))</f>
        <v/>
      </c>
      <c r="I77" s="18">
        <f>IF(OR(H77="",NOT(ISNUMBER(D77))),"",ROUND(D77*H77,2))</f>
        <v/>
      </c>
      <c r="J77" s="6">
        <f>IF(A77&amp;""="","",IF(OR(C77="تم",C77="خسارة"),"مغلقة",IF(NOT(ISNUMBER(E77)),"بلا موعد",IF(E77&lt;'الإعدادات'!$B$4,"متأخرة",IF(E77='الإعدادات'!$B$4,"اليوم","قادمة")))))</f>
        <v/>
      </c>
      <c r="K77" s="19">
        <f>IF(OR(J77="متأخرة",J77="اليوم"),'الإعدادات'!$B$4-E77,"")</f>
        <v/>
      </c>
      <c r="L77" s="19">
        <f>IF(OR(A77&amp;""="",NOT(ISNUMBER(F77))),"",'الإعدادات'!$B$4-F77)</f>
        <v/>
      </c>
      <c r="M77" s="19">
        <f>IF(OR(J77="متأخرة",J77="اليوم"),COUNTIFS($J$6:$J$505,"متأخرة",$E$6:$E$505,"&lt;"&amp;E77)+COUNTIFS($J$6:$J$505,"اليوم",$E$6:$E$505,"&lt;"&amp;E77)+COUNTIFS($E$6:E77,E77&amp;"",$J$6:J77,J77),"")</f>
        <v/>
      </c>
    </row>
    <row r="78">
      <c r="A78" s="5" t="n"/>
      <c r="B78" s="5" t="n"/>
      <c r="C78" s="5" t="n"/>
      <c r="D78" s="16" t="n"/>
      <c r="E78" s="13" t="n"/>
      <c r="F78" s="13" t="n"/>
      <c r="G78" s="5" t="n"/>
      <c r="H78" s="17">
        <f>IF(C78&amp;""="","",IFERROR(VLOOKUP(C78,'الإعدادات'!$A$8:$B$13,2,FALSE),""))</f>
        <v/>
      </c>
      <c r="I78" s="18">
        <f>IF(OR(H78="",NOT(ISNUMBER(D78))),"",ROUND(D78*H78,2))</f>
        <v/>
      </c>
      <c r="J78" s="6">
        <f>IF(A78&amp;""="","",IF(OR(C78="تم",C78="خسارة"),"مغلقة",IF(NOT(ISNUMBER(E78)),"بلا موعد",IF(E78&lt;'الإعدادات'!$B$4,"متأخرة",IF(E78='الإعدادات'!$B$4,"اليوم","قادمة")))))</f>
        <v/>
      </c>
      <c r="K78" s="19">
        <f>IF(OR(J78="متأخرة",J78="اليوم"),'الإعدادات'!$B$4-E78,"")</f>
        <v/>
      </c>
      <c r="L78" s="19">
        <f>IF(OR(A78&amp;""="",NOT(ISNUMBER(F78))),"",'الإعدادات'!$B$4-F78)</f>
        <v/>
      </c>
      <c r="M78" s="19">
        <f>IF(OR(J78="متأخرة",J78="اليوم"),COUNTIFS($J$6:$J$505,"متأخرة",$E$6:$E$505,"&lt;"&amp;E78)+COUNTIFS($J$6:$J$505,"اليوم",$E$6:$E$505,"&lt;"&amp;E78)+COUNTIFS($E$6:E78,E78&amp;"",$J$6:J78,J78),"")</f>
        <v/>
      </c>
    </row>
    <row r="79">
      <c r="A79" s="5" t="n"/>
      <c r="B79" s="5" t="n"/>
      <c r="C79" s="5" t="n"/>
      <c r="D79" s="16" t="n"/>
      <c r="E79" s="13" t="n"/>
      <c r="F79" s="13" t="n"/>
      <c r="G79" s="5" t="n"/>
      <c r="H79" s="17">
        <f>IF(C79&amp;""="","",IFERROR(VLOOKUP(C79,'الإعدادات'!$A$8:$B$13,2,FALSE),""))</f>
        <v/>
      </c>
      <c r="I79" s="18">
        <f>IF(OR(H79="",NOT(ISNUMBER(D79))),"",ROUND(D79*H79,2))</f>
        <v/>
      </c>
      <c r="J79" s="6">
        <f>IF(A79&amp;""="","",IF(OR(C79="تم",C79="خسارة"),"مغلقة",IF(NOT(ISNUMBER(E79)),"بلا موعد",IF(E79&lt;'الإعدادات'!$B$4,"متأخرة",IF(E79='الإعدادات'!$B$4,"اليوم","قادمة")))))</f>
        <v/>
      </c>
      <c r="K79" s="19">
        <f>IF(OR(J79="متأخرة",J79="اليوم"),'الإعدادات'!$B$4-E79,"")</f>
        <v/>
      </c>
      <c r="L79" s="19">
        <f>IF(OR(A79&amp;""="",NOT(ISNUMBER(F79))),"",'الإعدادات'!$B$4-F79)</f>
        <v/>
      </c>
      <c r="M79" s="19">
        <f>IF(OR(J79="متأخرة",J79="اليوم"),COUNTIFS($J$6:$J$505,"متأخرة",$E$6:$E$505,"&lt;"&amp;E79)+COUNTIFS($J$6:$J$505,"اليوم",$E$6:$E$505,"&lt;"&amp;E79)+COUNTIFS($E$6:E79,E79&amp;"",$J$6:J79,J79),"")</f>
        <v/>
      </c>
    </row>
    <row r="80">
      <c r="A80" s="5" t="n"/>
      <c r="B80" s="5" t="n"/>
      <c r="C80" s="5" t="n"/>
      <c r="D80" s="16" t="n"/>
      <c r="E80" s="13" t="n"/>
      <c r="F80" s="13" t="n"/>
      <c r="G80" s="5" t="n"/>
      <c r="H80" s="17">
        <f>IF(C80&amp;""="","",IFERROR(VLOOKUP(C80,'الإعدادات'!$A$8:$B$13,2,FALSE),""))</f>
        <v/>
      </c>
      <c r="I80" s="18">
        <f>IF(OR(H80="",NOT(ISNUMBER(D80))),"",ROUND(D80*H80,2))</f>
        <v/>
      </c>
      <c r="J80" s="6">
        <f>IF(A80&amp;""="","",IF(OR(C80="تم",C80="خسارة"),"مغلقة",IF(NOT(ISNUMBER(E80)),"بلا موعد",IF(E80&lt;'الإعدادات'!$B$4,"متأخرة",IF(E80='الإعدادات'!$B$4,"اليوم","قادمة")))))</f>
        <v/>
      </c>
      <c r="K80" s="19">
        <f>IF(OR(J80="متأخرة",J80="اليوم"),'الإعدادات'!$B$4-E80,"")</f>
        <v/>
      </c>
      <c r="L80" s="19">
        <f>IF(OR(A80&amp;""="",NOT(ISNUMBER(F80))),"",'الإعدادات'!$B$4-F80)</f>
        <v/>
      </c>
      <c r="M80" s="19">
        <f>IF(OR(J80="متأخرة",J80="اليوم"),COUNTIFS($J$6:$J$505,"متأخرة",$E$6:$E$505,"&lt;"&amp;E80)+COUNTIFS($J$6:$J$505,"اليوم",$E$6:$E$505,"&lt;"&amp;E80)+COUNTIFS($E$6:E80,E80&amp;"",$J$6:J80,J80),"")</f>
        <v/>
      </c>
    </row>
    <row r="81">
      <c r="A81" s="5" t="n"/>
      <c r="B81" s="5" t="n"/>
      <c r="C81" s="5" t="n"/>
      <c r="D81" s="16" t="n"/>
      <c r="E81" s="13" t="n"/>
      <c r="F81" s="13" t="n"/>
      <c r="G81" s="5" t="n"/>
      <c r="H81" s="17">
        <f>IF(C81&amp;""="","",IFERROR(VLOOKUP(C81,'الإعدادات'!$A$8:$B$13,2,FALSE),""))</f>
        <v/>
      </c>
      <c r="I81" s="18">
        <f>IF(OR(H81="",NOT(ISNUMBER(D81))),"",ROUND(D81*H81,2))</f>
        <v/>
      </c>
      <c r="J81" s="6">
        <f>IF(A81&amp;""="","",IF(OR(C81="تم",C81="خسارة"),"مغلقة",IF(NOT(ISNUMBER(E81)),"بلا موعد",IF(E81&lt;'الإعدادات'!$B$4,"متأخرة",IF(E81='الإعدادات'!$B$4,"اليوم","قادمة")))))</f>
        <v/>
      </c>
      <c r="K81" s="19">
        <f>IF(OR(J81="متأخرة",J81="اليوم"),'الإعدادات'!$B$4-E81,"")</f>
        <v/>
      </c>
      <c r="L81" s="19">
        <f>IF(OR(A81&amp;""="",NOT(ISNUMBER(F81))),"",'الإعدادات'!$B$4-F81)</f>
        <v/>
      </c>
      <c r="M81" s="19">
        <f>IF(OR(J81="متأخرة",J81="اليوم"),COUNTIFS($J$6:$J$505,"متأخرة",$E$6:$E$505,"&lt;"&amp;E81)+COUNTIFS($J$6:$J$505,"اليوم",$E$6:$E$505,"&lt;"&amp;E81)+COUNTIFS($E$6:E81,E81&amp;"",$J$6:J81,J81),"")</f>
        <v/>
      </c>
    </row>
    <row r="82">
      <c r="A82" s="5" t="n"/>
      <c r="B82" s="5" t="n"/>
      <c r="C82" s="5" t="n"/>
      <c r="D82" s="16" t="n"/>
      <c r="E82" s="13" t="n"/>
      <c r="F82" s="13" t="n"/>
      <c r="G82" s="5" t="n"/>
      <c r="H82" s="17">
        <f>IF(C82&amp;""="","",IFERROR(VLOOKUP(C82,'الإعدادات'!$A$8:$B$13,2,FALSE),""))</f>
        <v/>
      </c>
      <c r="I82" s="18">
        <f>IF(OR(H82="",NOT(ISNUMBER(D82))),"",ROUND(D82*H82,2))</f>
        <v/>
      </c>
      <c r="J82" s="6">
        <f>IF(A82&amp;""="","",IF(OR(C82="تم",C82="خسارة"),"مغلقة",IF(NOT(ISNUMBER(E82)),"بلا موعد",IF(E82&lt;'الإعدادات'!$B$4,"متأخرة",IF(E82='الإعدادات'!$B$4,"اليوم","قادمة")))))</f>
        <v/>
      </c>
      <c r="K82" s="19">
        <f>IF(OR(J82="متأخرة",J82="اليوم"),'الإعدادات'!$B$4-E82,"")</f>
        <v/>
      </c>
      <c r="L82" s="19">
        <f>IF(OR(A82&amp;""="",NOT(ISNUMBER(F82))),"",'الإعدادات'!$B$4-F82)</f>
        <v/>
      </c>
      <c r="M82" s="19">
        <f>IF(OR(J82="متأخرة",J82="اليوم"),COUNTIFS($J$6:$J$505,"متأخرة",$E$6:$E$505,"&lt;"&amp;E82)+COUNTIFS($J$6:$J$505,"اليوم",$E$6:$E$505,"&lt;"&amp;E82)+COUNTIFS($E$6:E82,E82&amp;"",$J$6:J82,J82),"")</f>
        <v/>
      </c>
    </row>
    <row r="83">
      <c r="A83" s="5" t="n"/>
      <c r="B83" s="5" t="n"/>
      <c r="C83" s="5" t="n"/>
      <c r="D83" s="16" t="n"/>
      <c r="E83" s="13" t="n"/>
      <c r="F83" s="13" t="n"/>
      <c r="G83" s="5" t="n"/>
      <c r="H83" s="17">
        <f>IF(C83&amp;""="","",IFERROR(VLOOKUP(C83,'الإعدادات'!$A$8:$B$13,2,FALSE),""))</f>
        <v/>
      </c>
      <c r="I83" s="18">
        <f>IF(OR(H83="",NOT(ISNUMBER(D83))),"",ROUND(D83*H83,2))</f>
        <v/>
      </c>
      <c r="J83" s="6">
        <f>IF(A83&amp;""="","",IF(OR(C83="تم",C83="خسارة"),"مغلقة",IF(NOT(ISNUMBER(E83)),"بلا موعد",IF(E83&lt;'الإعدادات'!$B$4,"متأخرة",IF(E83='الإعدادات'!$B$4,"اليوم","قادمة")))))</f>
        <v/>
      </c>
      <c r="K83" s="19">
        <f>IF(OR(J83="متأخرة",J83="اليوم"),'الإعدادات'!$B$4-E83,"")</f>
        <v/>
      </c>
      <c r="L83" s="19">
        <f>IF(OR(A83&amp;""="",NOT(ISNUMBER(F83))),"",'الإعدادات'!$B$4-F83)</f>
        <v/>
      </c>
      <c r="M83" s="19">
        <f>IF(OR(J83="متأخرة",J83="اليوم"),COUNTIFS($J$6:$J$505,"متأخرة",$E$6:$E$505,"&lt;"&amp;E83)+COUNTIFS($J$6:$J$505,"اليوم",$E$6:$E$505,"&lt;"&amp;E83)+COUNTIFS($E$6:E83,E83&amp;"",$J$6:J83,J83),"")</f>
        <v/>
      </c>
    </row>
    <row r="84">
      <c r="A84" s="5" t="n"/>
      <c r="B84" s="5" t="n"/>
      <c r="C84" s="5" t="n"/>
      <c r="D84" s="16" t="n"/>
      <c r="E84" s="13" t="n"/>
      <c r="F84" s="13" t="n"/>
      <c r="G84" s="5" t="n"/>
      <c r="H84" s="17">
        <f>IF(C84&amp;""="","",IFERROR(VLOOKUP(C84,'الإعدادات'!$A$8:$B$13,2,FALSE),""))</f>
        <v/>
      </c>
      <c r="I84" s="18">
        <f>IF(OR(H84="",NOT(ISNUMBER(D84))),"",ROUND(D84*H84,2))</f>
        <v/>
      </c>
      <c r="J84" s="6">
        <f>IF(A84&amp;""="","",IF(OR(C84="تم",C84="خسارة"),"مغلقة",IF(NOT(ISNUMBER(E84)),"بلا موعد",IF(E84&lt;'الإعدادات'!$B$4,"متأخرة",IF(E84='الإعدادات'!$B$4,"اليوم","قادمة")))))</f>
        <v/>
      </c>
      <c r="K84" s="19">
        <f>IF(OR(J84="متأخرة",J84="اليوم"),'الإعدادات'!$B$4-E84,"")</f>
        <v/>
      </c>
      <c r="L84" s="19">
        <f>IF(OR(A84&amp;""="",NOT(ISNUMBER(F84))),"",'الإعدادات'!$B$4-F84)</f>
        <v/>
      </c>
      <c r="M84" s="19">
        <f>IF(OR(J84="متأخرة",J84="اليوم"),COUNTIFS($J$6:$J$505,"متأخرة",$E$6:$E$505,"&lt;"&amp;E84)+COUNTIFS($J$6:$J$505,"اليوم",$E$6:$E$505,"&lt;"&amp;E84)+COUNTIFS($E$6:E84,E84&amp;"",$J$6:J84,J84),"")</f>
        <v/>
      </c>
    </row>
    <row r="85">
      <c r="A85" s="5" t="n"/>
      <c r="B85" s="5" t="n"/>
      <c r="C85" s="5" t="n"/>
      <c r="D85" s="16" t="n"/>
      <c r="E85" s="13" t="n"/>
      <c r="F85" s="13" t="n"/>
      <c r="G85" s="5" t="n"/>
      <c r="H85" s="17">
        <f>IF(C85&amp;""="","",IFERROR(VLOOKUP(C85,'الإعدادات'!$A$8:$B$13,2,FALSE),""))</f>
        <v/>
      </c>
      <c r="I85" s="18">
        <f>IF(OR(H85="",NOT(ISNUMBER(D85))),"",ROUND(D85*H85,2))</f>
        <v/>
      </c>
      <c r="J85" s="6">
        <f>IF(A85&amp;""="","",IF(OR(C85="تم",C85="خسارة"),"مغلقة",IF(NOT(ISNUMBER(E85)),"بلا موعد",IF(E85&lt;'الإعدادات'!$B$4,"متأخرة",IF(E85='الإعدادات'!$B$4,"اليوم","قادمة")))))</f>
        <v/>
      </c>
      <c r="K85" s="19">
        <f>IF(OR(J85="متأخرة",J85="اليوم"),'الإعدادات'!$B$4-E85,"")</f>
        <v/>
      </c>
      <c r="L85" s="19">
        <f>IF(OR(A85&amp;""="",NOT(ISNUMBER(F85))),"",'الإعدادات'!$B$4-F85)</f>
        <v/>
      </c>
      <c r="M85" s="19">
        <f>IF(OR(J85="متأخرة",J85="اليوم"),COUNTIFS($J$6:$J$505,"متأخرة",$E$6:$E$505,"&lt;"&amp;E85)+COUNTIFS($J$6:$J$505,"اليوم",$E$6:$E$505,"&lt;"&amp;E85)+COUNTIFS($E$6:E85,E85&amp;"",$J$6:J85,J85),"")</f>
        <v/>
      </c>
    </row>
    <row r="86">
      <c r="A86" s="5" t="n"/>
      <c r="B86" s="5" t="n"/>
      <c r="C86" s="5" t="n"/>
      <c r="D86" s="16" t="n"/>
      <c r="E86" s="13" t="n"/>
      <c r="F86" s="13" t="n"/>
      <c r="G86" s="5" t="n"/>
      <c r="H86" s="17">
        <f>IF(C86&amp;""="","",IFERROR(VLOOKUP(C86,'الإعدادات'!$A$8:$B$13,2,FALSE),""))</f>
        <v/>
      </c>
      <c r="I86" s="18">
        <f>IF(OR(H86="",NOT(ISNUMBER(D86))),"",ROUND(D86*H86,2))</f>
        <v/>
      </c>
      <c r="J86" s="6">
        <f>IF(A86&amp;""="","",IF(OR(C86="تم",C86="خسارة"),"مغلقة",IF(NOT(ISNUMBER(E86)),"بلا موعد",IF(E86&lt;'الإعدادات'!$B$4,"متأخرة",IF(E86='الإعدادات'!$B$4,"اليوم","قادمة")))))</f>
        <v/>
      </c>
      <c r="K86" s="19">
        <f>IF(OR(J86="متأخرة",J86="اليوم"),'الإعدادات'!$B$4-E86,"")</f>
        <v/>
      </c>
      <c r="L86" s="19">
        <f>IF(OR(A86&amp;""="",NOT(ISNUMBER(F86))),"",'الإعدادات'!$B$4-F86)</f>
        <v/>
      </c>
      <c r="M86" s="19">
        <f>IF(OR(J86="متأخرة",J86="اليوم"),COUNTIFS($J$6:$J$505,"متأخرة",$E$6:$E$505,"&lt;"&amp;E86)+COUNTIFS($J$6:$J$505,"اليوم",$E$6:$E$505,"&lt;"&amp;E86)+COUNTIFS($E$6:E86,E86&amp;"",$J$6:J86,J86),"")</f>
        <v/>
      </c>
    </row>
    <row r="87">
      <c r="A87" s="5" t="n"/>
      <c r="B87" s="5" t="n"/>
      <c r="C87" s="5" t="n"/>
      <c r="D87" s="16" t="n"/>
      <c r="E87" s="13" t="n"/>
      <c r="F87" s="13" t="n"/>
      <c r="G87" s="5" t="n"/>
      <c r="H87" s="17">
        <f>IF(C87&amp;""="","",IFERROR(VLOOKUP(C87,'الإعدادات'!$A$8:$B$13,2,FALSE),""))</f>
        <v/>
      </c>
      <c r="I87" s="18">
        <f>IF(OR(H87="",NOT(ISNUMBER(D87))),"",ROUND(D87*H87,2))</f>
        <v/>
      </c>
      <c r="J87" s="6">
        <f>IF(A87&amp;""="","",IF(OR(C87="تم",C87="خسارة"),"مغلقة",IF(NOT(ISNUMBER(E87)),"بلا موعد",IF(E87&lt;'الإعدادات'!$B$4,"متأخرة",IF(E87='الإعدادات'!$B$4,"اليوم","قادمة")))))</f>
        <v/>
      </c>
      <c r="K87" s="19">
        <f>IF(OR(J87="متأخرة",J87="اليوم"),'الإعدادات'!$B$4-E87,"")</f>
        <v/>
      </c>
      <c r="L87" s="19">
        <f>IF(OR(A87&amp;""="",NOT(ISNUMBER(F87))),"",'الإعدادات'!$B$4-F87)</f>
        <v/>
      </c>
      <c r="M87" s="19">
        <f>IF(OR(J87="متأخرة",J87="اليوم"),COUNTIFS($J$6:$J$505,"متأخرة",$E$6:$E$505,"&lt;"&amp;E87)+COUNTIFS($J$6:$J$505,"اليوم",$E$6:$E$505,"&lt;"&amp;E87)+COUNTIFS($E$6:E87,E87&amp;"",$J$6:J87,J87),"")</f>
        <v/>
      </c>
    </row>
    <row r="88">
      <c r="A88" s="5" t="n"/>
      <c r="B88" s="5" t="n"/>
      <c r="C88" s="5" t="n"/>
      <c r="D88" s="16" t="n"/>
      <c r="E88" s="13" t="n"/>
      <c r="F88" s="13" t="n"/>
      <c r="G88" s="5" t="n"/>
      <c r="H88" s="17">
        <f>IF(C88&amp;""="","",IFERROR(VLOOKUP(C88,'الإعدادات'!$A$8:$B$13,2,FALSE),""))</f>
        <v/>
      </c>
      <c r="I88" s="18">
        <f>IF(OR(H88="",NOT(ISNUMBER(D88))),"",ROUND(D88*H88,2))</f>
        <v/>
      </c>
      <c r="J88" s="6">
        <f>IF(A88&amp;""="","",IF(OR(C88="تم",C88="خسارة"),"مغلقة",IF(NOT(ISNUMBER(E88)),"بلا موعد",IF(E88&lt;'الإعدادات'!$B$4,"متأخرة",IF(E88='الإعدادات'!$B$4,"اليوم","قادمة")))))</f>
        <v/>
      </c>
      <c r="K88" s="19">
        <f>IF(OR(J88="متأخرة",J88="اليوم"),'الإعدادات'!$B$4-E88,"")</f>
        <v/>
      </c>
      <c r="L88" s="19">
        <f>IF(OR(A88&amp;""="",NOT(ISNUMBER(F88))),"",'الإعدادات'!$B$4-F88)</f>
        <v/>
      </c>
      <c r="M88" s="19">
        <f>IF(OR(J88="متأخرة",J88="اليوم"),COUNTIFS($J$6:$J$505,"متأخرة",$E$6:$E$505,"&lt;"&amp;E88)+COUNTIFS($J$6:$J$505,"اليوم",$E$6:$E$505,"&lt;"&amp;E88)+COUNTIFS($E$6:E88,E88&amp;"",$J$6:J88,J88),"")</f>
        <v/>
      </c>
    </row>
    <row r="89">
      <c r="A89" s="5" t="n"/>
      <c r="B89" s="5" t="n"/>
      <c r="C89" s="5" t="n"/>
      <c r="D89" s="16" t="n"/>
      <c r="E89" s="13" t="n"/>
      <c r="F89" s="13" t="n"/>
      <c r="G89" s="5" t="n"/>
      <c r="H89" s="17">
        <f>IF(C89&amp;""="","",IFERROR(VLOOKUP(C89,'الإعدادات'!$A$8:$B$13,2,FALSE),""))</f>
        <v/>
      </c>
      <c r="I89" s="18">
        <f>IF(OR(H89="",NOT(ISNUMBER(D89))),"",ROUND(D89*H89,2))</f>
        <v/>
      </c>
      <c r="J89" s="6">
        <f>IF(A89&amp;""="","",IF(OR(C89="تم",C89="خسارة"),"مغلقة",IF(NOT(ISNUMBER(E89)),"بلا موعد",IF(E89&lt;'الإعدادات'!$B$4,"متأخرة",IF(E89='الإعدادات'!$B$4,"اليوم","قادمة")))))</f>
        <v/>
      </c>
      <c r="K89" s="19">
        <f>IF(OR(J89="متأخرة",J89="اليوم"),'الإعدادات'!$B$4-E89,"")</f>
        <v/>
      </c>
      <c r="L89" s="19">
        <f>IF(OR(A89&amp;""="",NOT(ISNUMBER(F89))),"",'الإعدادات'!$B$4-F89)</f>
        <v/>
      </c>
      <c r="M89" s="19">
        <f>IF(OR(J89="متأخرة",J89="اليوم"),COUNTIFS($J$6:$J$505,"متأخرة",$E$6:$E$505,"&lt;"&amp;E89)+COUNTIFS($J$6:$J$505,"اليوم",$E$6:$E$505,"&lt;"&amp;E89)+COUNTIFS($E$6:E89,E89&amp;"",$J$6:J89,J89),"")</f>
        <v/>
      </c>
    </row>
    <row r="90">
      <c r="A90" s="5" t="n"/>
      <c r="B90" s="5" t="n"/>
      <c r="C90" s="5" t="n"/>
      <c r="D90" s="16" t="n"/>
      <c r="E90" s="13" t="n"/>
      <c r="F90" s="13" t="n"/>
      <c r="G90" s="5" t="n"/>
      <c r="H90" s="17">
        <f>IF(C90&amp;""="","",IFERROR(VLOOKUP(C90,'الإعدادات'!$A$8:$B$13,2,FALSE),""))</f>
        <v/>
      </c>
      <c r="I90" s="18">
        <f>IF(OR(H90="",NOT(ISNUMBER(D90))),"",ROUND(D90*H90,2))</f>
        <v/>
      </c>
      <c r="J90" s="6">
        <f>IF(A90&amp;""="","",IF(OR(C90="تم",C90="خسارة"),"مغلقة",IF(NOT(ISNUMBER(E90)),"بلا موعد",IF(E90&lt;'الإعدادات'!$B$4,"متأخرة",IF(E90='الإعدادات'!$B$4,"اليوم","قادمة")))))</f>
        <v/>
      </c>
      <c r="K90" s="19">
        <f>IF(OR(J90="متأخرة",J90="اليوم"),'الإعدادات'!$B$4-E90,"")</f>
        <v/>
      </c>
      <c r="L90" s="19">
        <f>IF(OR(A90&amp;""="",NOT(ISNUMBER(F90))),"",'الإعدادات'!$B$4-F90)</f>
        <v/>
      </c>
      <c r="M90" s="19">
        <f>IF(OR(J90="متأخرة",J90="اليوم"),COUNTIFS($J$6:$J$505,"متأخرة",$E$6:$E$505,"&lt;"&amp;E90)+COUNTIFS($J$6:$J$505,"اليوم",$E$6:$E$505,"&lt;"&amp;E90)+COUNTIFS($E$6:E90,E90&amp;"",$J$6:J90,J90),"")</f>
        <v/>
      </c>
    </row>
    <row r="91">
      <c r="A91" s="5" t="n"/>
      <c r="B91" s="5" t="n"/>
      <c r="C91" s="5" t="n"/>
      <c r="D91" s="16" t="n"/>
      <c r="E91" s="13" t="n"/>
      <c r="F91" s="13" t="n"/>
      <c r="G91" s="5" t="n"/>
      <c r="H91" s="17">
        <f>IF(C91&amp;""="","",IFERROR(VLOOKUP(C91,'الإعدادات'!$A$8:$B$13,2,FALSE),""))</f>
        <v/>
      </c>
      <c r="I91" s="18">
        <f>IF(OR(H91="",NOT(ISNUMBER(D91))),"",ROUND(D91*H91,2))</f>
        <v/>
      </c>
      <c r="J91" s="6">
        <f>IF(A91&amp;""="","",IF(OR(C91="تم",C91="خسارة"),"مغلقة",IF(NOT(ISNUMBER(E91)),"بلا موعد",IF(E91&lt;'الإعدادات'!$B$4,"متأخرة",IF(E91='الإعدادات'!$B$4,"اليوم","قادمة")))))</f>
        <v/>
      </c>
      <c r="K91" s="19">
        <f>IF(OR(J91="متأخرة",J91="اليوم"),'الإعدادات'!$B$4-E91,"")</f>
        <v/>
      </c>
      <c r="L91" s="19">
        <f>IF(OR(A91&amp;""="",NOT(ISNUMBER(F91))),"",'الإعدادات'!$B$4-F91)</f>
        <v/>
      </c>
      <c r="M91" s="19">
        <f>IF(OR(J91="متأخرة",J91="اليوم"),COUNTIFS($J$6:$J$505,"متأخرة",$E$6:$E$505,"&lt;"&amp;E91)+COUNTIFS($J$6:$J$505,"اليوم",$E$6:$E$505,"&lt;"&amp;E91)+COUNTIFS($E$6:E91,E91&amp;"",$J$6:J91,J91),"")</f>
        <v/>
      </c>
    </row>
    <row r="92">
      <c r="A92" s="5" t="n"/>
      <c r="B92" s="5" t="n"/>
      <c r="C92" s="5" t="n"/>
      <c r="D92" s="16" t="n"/>
      <c r="E92" s="13" t="n"/>
      <c r="F92" s="13" t="n"/>
      <c r="G92" s="5" t="n"/>
      <c r="H92" s="17">
        <f>IF(C92&amp;""="","",IFERROR(VLOOKUP(C92,'الإعدادات'!$A$8:$B$13,2,FALSE),""))</f>
        <v/>
      </c>
      <c r="I92" s="18">
        <f>IF(OR(H92="",NOT(ISNUMBER(D92))),"",ROUND(D92*H92,2))</f>
        <v/>
      </c>
      <c r="J92" s="6">
        <f>IF(A92&amp;""="","",IF(OR(C92="تم",C92="خسارة"),"مغلقة",IF(NOT(ISNUMBER(E92)),"بلا موعد",IF(E92&lt;'الإعدادات'!$B$4,"متأخرة",IF(E92='الإعدادات'!$B$4,"اليوم","قادمة")))))</f>
        <v/>
      </c>
      <c r="K92" s="19">
        <f>IF(OR(J92="متأخرة",J92="اليوم"),'الإعدادات'!$B$4-E92,"")</f>
        <v/>
      </c>
      <c r="L92" s="19">
        <f>IF(OR(A92&amp;""="",NOT(ISNUMBER(F92))),"",'الإعدادات'!$B$4-F92)</f>
        <v/>
      </c>
      <c r="M92" s="19">
        <f>IF(OR(J92="متأخرة",J92="اليوم"),COUNTIFS($J$6:$J$505,"متأخرة",$E$6:$E$505,"&lt;"&amp;E92)+COUNTIFS($J$6:$J$505,"اليوم",$E$6:$E$505,"&lt;"&amp;E92)+COUNTIFS($E$6:E92,E92&amp;"",$J$6:J92,J92),"")</f>
        <v/>
      </c>
    </row>
    <row r="93">
      <c r="A93" s="5" t="n"/>
      <c r="B93" s="5" t="n"/>
      <c r="C93" s="5" t="n"/>
      <c r="D93" s="16" t="n"/>
      <c r="E93" s="13" t="n"/>
      <c r="F93" s="13" t="n"/>
      <c r="G93" s="5" t="n"/>
      <c r="H93" s="17">
        <f>IF(C93&amp;""="","",IFERROR(VLOOKUP(C93,'الإعدادات'!$A$8:$B$13,2,FALSE),""))</f>
        <v/>
      </c>
      <c r="I93" s="18">
        <f>IF(OR(H93="",NOT(ISNUMBER(D93))),"",ROUND(D93*H93,2))</f>
        <v/>
      </c>
      <c r="J93" s="6">
        <f>IF(A93&amp;""="","",IF(OR(C93="تم",C93="خسارة"),"مغلقة",IF(NOT(ISNUMBER(E93)),"بلا موعد",IF(E93&lt;'الإعدادات'!$B$4,"متأخرة",IF(E93='الإعدادات'!$B$4,"اليوم","قادمة")))))</f>
        <v/>
      </c>
      <c r="K93" s="19">
        <f>IF(OR(J93="متأخرة",J93="اليوم"),'الإعدادات'!$B$4-E93,"")</f>
        <v/>
      </c>
      <c r="L93" s="19">
        <f>IF(OR(A93&amp;""="",NOT(ISNUMBER(F93))),"",'الإعدادات'!$B$4-F93)</f>
        <v/>
      </c>
      <c r="M93" s="19">
        <f>IF(OR(J93="متأخرة",J93="اليوم"),COUNTIFS($J$6:$J$505,"متأخرة",$E$6:$E$505,"&lt;"&amp;E93)+COUNTIFS($J$6:$J$505,"اليوم",$E$6:$E$505,"&lt;"&amp;E93)+COUNTIFS($E$6:E93,E93&amp;"",$J$6:J93,J93),"")</f>
        <v/>
      </c>
    </row>
    <row r="94">
      <c r="A94" s="5" t="n"/>
      <c r="B94" s="5" t="n"/>
      <c r="C94" s="5" t="n"/>
      <c r="D94" s="16" t="n"/>
      <c r="E94" s="13" t="n"/>
      <c r="F94" s="13" t="n"/>
      <c r="G94" s="5" t="n"/>
      <c r="H94" s="17">
        <f>IF(C94&amp;""="","",IFERROR(VLOOKUP(C94,'الإعدادات'!$A$8:$B$13,2,FALSE),""))</f>
        <v/>
      </c>
      <c r="I94" s="18">
        <f>IF(OR(H94="",NOT(ISNUMBER(D94))),"",ROUND(D94*H94,2))</f>
        <v/>
      </c>
      <c r="J94" s="6">
        <f>IF(A94&amp;""="","",IF(OR(C94="تم",C94="خسارة"),"مغلقة",IF(NOT(ISNUMBER(E94)),"بلا موعد",IF(E94&lt;'الإعدادات'!$B$4,"متأخرة",IF(E94='الإعدادات'!$B$4,"اليوم","قادمة")))))</f>
        <v/>
      </c>
      <c r="K94" s="19">
        <f>IF(OR(J94="متأخرة",J94="اليوم"),'الإعدادات'!$B$4-E94,"")</f>
        <v/>
      </c>
      <c r="L94" s="19">
        <f>IF(OR(A94&amp;""="",NOT(ISNUMBER(F94))),"",'الإعدادات'!$B$4-F94)</f>
        <v/>
      </c>
      <c r="M94" s="19">
        <f>IF(OR(J94="متأخرة",J94="اليوم"),COUNTIFS($J$6:$J$505,"متأخرة",$E$6:$E$505,"&lt;"&amp;E94)+COUNTIFS($J$6:$J$505,"اليوم",$E$6:$E$505,"&lt;"&amp;E94)+COUNTIFS($E$6:E94,E94&amp;"",$J$6:J94,J94),"")</f>
        <v/>
      </c>
    </row>
    <row r="95">
      <c r="A95" s="5" t="n"/>
      <c r="B95" s="5" t="n"/>
      <c r="C95" s="5" t="n"/>
      <c r="D95" s="16" t="n"/>
      <c r="E95" s="13" t="n"/>
      <c r="F95" s="13" t="n"/>
      <c r="G95" s="5" t="n"/>
      <c r="H95" s="17">
        <f>IF(C95&amp;""="","",IFERROR(VLOOKUP(C95,'الإعدادات'!$A$8:$B$13,2,FALSE),""))</f>
        <v/>
      </c>
      <c r="I95" s="18">
        <f>IF(OR(H95="",NOT(ISNUMBER(D95))),"",ROUND(D95*H95,2))</f>
        <v/>
      </c>
      <c r="J95" s="6">
        <f>IF(A95&amp;""="","",IF(OR(C95="تم",C95="خسارة"),"مغلقة",IF(NOT(ISNUMBER(E95)),"بلا موعد",IF(E95&lt;'الإعدادات'!$B$4,"متأخرة",IF(E95='الإعدادات'!$B$4,"اليوم","قادمة")))))</f>
        <v/>
      </c>
      <c r="K95" s="19">
        <f>IF(OR(J95="متأخرة",J95="اليوم"),'الإعدادات'!$B$4-E95,"")</f>
        <v/>
      </c>
      <c r="L95" s="19">
        <f>IF(OR(A95&amp;""="",NOT(ISNUMBER(F95))),"",'الإعدادات'!$B$4-F95)</f>
        <v/>
      </c>
      <c r="M95" s="19">
        <f>IF(OR(J95="متأخرة",J95="اليوم"),COUNTIFS($J$6:$J$505,"متأخرة",$E$6:$E$505,"&lt;"&amp;E95)+COUNTIFS($J$6:$J$505,"اليوم",$E$6:$E$505,"&lt;"&amp;E95)+COUNTIFS($E$6:E95,E95&amp;"",$J$6:J95,J95),"")</f>
        <v/>
      </c>
    </row>
    <row r="96">
      <c r="A96" s="5" t="n"/>
      <c r="B96" s="5" t="n"/>
      <c r="C96" s="5" t="n"/>
      <c r="D96" s="16" t="n"/>
      <c r="E96" s="13" t="n"/>
      <c r="F96" s="13" t="n"/>
      <c r="G96" s="5" t="n"/>
      <c r="H96" s="17">
        <f>IF(C96&amp;""="","",IFERROR(VLOOKUP(C96,'الإعدادات'!$A$8:$B$13,2,FALSE),""))</f>
        <v/>
      </c>
      <c r="I96" s="18">
        <f>IF(OR(H96="",NOT(ISNUMBER(D96))),"",ROUND(D96*H96,2))</f>
        <v/>
      </c>
      <c r="J96" s="6">
        <f>IF(A96&amp;""="","",IF(OR(C96="تم",C96="خسارة"),"مغلقة",IF(NOT(ISNUMBER(E96)),"بلا موعد",IF(E96&lt;'الإعدادات'!$B$4,"متأخرة",IF(E96='الإعدادات'!$B$4,"اليوم","قادمة")))))</f>
        <v/>
      </c>
      <c r="K96" s="19">
        <f>IF(OR(J96="متأخرة",J96="اليوم"),'الإعدادات'!$B$4-E96,"")</f>
        <v/>
      </c>
      <c r="L96" s="19">
        <f>IF(OR(A96&amp;""="",NOT(ISNUMBER(F96))),"",'الإعدادات'!$B$4-F96)</f>
        <v/>
      </c>
      <c r="M96" s="19">
        <f>IF(OR(J96="متأخرة",J96="اليوم"),COUNTIFS($J$6:$J$505,"متأخرة",$E$6:$E$505,"&lt;"&amp;E96)+COUNTIFS($J$6:$J$505,"اليوم",$E$6:$E$505,"&lt;"&amp;E96)+COUNTIFS($E$6:E96,E96&amp;"",$J$6:J96,J96),"")</f>
        <v/>
      </c>
    </row>
    <row r="97">
      <c r="A97" s="5" t="n"/>
      <c r="B97" s="5" t="n"/>
      <c r="C97" s="5" t="n"/>
      <c r="D97" s="16" t="n"/>
      <c r="E97" s="13" t="n"/>
      <c r="F97" s="13" t="n"/>
      <c r="G97" s="5" t="n"/>
      <c r="H97" s="17">
        <f>IF(C97&amp;""="","",IFERROR(VLOOKUP(C97,'الإعدادات'!$A$8:$B$13,2,FALSE),""))</f>
        <v/>
      </c>
      <c r="I97" s="18">
        <f>IF(OR(H97="",NOT(ISNUMBER(D97))),"",ROUND(D97*H97,2))</f>
        <v/>
      </c>
      <c r="J97" s="6">
        <f>IF(A97&amp;""="","",IF(OR(C97="تم",C97="خسارة"),"مغلقة",IF(NOT(ISNUMBER(E97)),"بلا موعد",IF(E97&lt;'الإعدادات'!$B$4,"متأخرة",IF(E97='الإعدادات'!$B$4,"اليوم","قادمة")))))</f>
        <v/>
      </c>
      <c r="K97" s="19">
        <f>IF(OR(J97="متأخرة",J97="اليوم"),'الإعدادات'!$B$4-E97,"")</f>
        <v/>
      </c>
      <c r="L97" s="19">
        <f>IF(OR(A97&amp;""="",NOT(ISNUMBER(F97))),"",'الإعدادات'!$B$4-F97)</f>
        <v/>
      </c>
      <c r="M97" s="19">
        <f>IF(OR(J97="متأخرة",J97="اليوم"),COUNTIFS($J$6:$J$505,"متأخرة",$E$6:$E$505,"&lt;"&amp;E97)+COUNTIFS($J$6:$J$505,"اليوم",$E$6:$E$505,"&lt;"&amp;E97)+COUNTIFS($E$6:E97,E97&amp;"",$J$6:J97,J97),"")</f>
        <v/>
      </c>
    </row>
    <row r="98">
      <c r="A98" s="5" t="n"/>
      <c r="B98" s="5" t="n"/>
      <c r="C98" s="5" t="n"/>
      <c r="D98" s="16" t="n"/>
      <c r="E98" s="13" t="n"/>
      <c r="F98" s="13" t="n"/>
      <c r="G98" s="5" t="n"/>
      <c r="H98" s="17">
        <f>IF(C98&amp;""="","",IFERROR(VLOOKUP(C98,'الإعدادات'!$A$8:$B$13,2,FALSE),""))</f>
        <v/>
      </c>
      <c r="I98" s="18">
        <f>IF(OR(H98="",NOT(ISNUMBER(D98))),"",ROUND(D98*H98,2))</f>
        <v/>
      </c>
      <c r="J98" s="6">
        <f>IF(A98&amp;""="","",IF(OR(C98="تم",C98="خسارة"),"مغلقة",IF(NOT(ISNUMBER(E98)),"بلا موعد",IF(E98&lt;'الإعدادات'!$B$4,"متأخرة",IF(E98='الإعدادات'!$B$4,"اليوم","قادمة")))))</f>
        <v/>
      </c>
      <c r="K98" s="19">
        <f>IF(OR(J98="متأخرة",J98="اليوم"),'الإعدادات'!$B$4-E98,"")</f>
        <v/>
      </c>
      <c r="L98" s="19">
        <f>IF(OR(A98&amp;""="",NOT(ISNUMBER(F98))),"",'الإعدادات'!$B$4-F98)</f>
        <v/>
      </c>
      <c r="M98" s="19">
        <f>IF(OR(J98="متأخرة",J98="اليوم"),COUNTIFS($J$6:$J$505,"متأخرة",$E$6:$E$505,"&lt;"&amp;E98)+COUNTIFS($J$6:$J$505,"اليوم",$E$6:$E$505,"&lt;"&amp;E98)+COUNTIFS($E$6:E98,E98&amp;"",$J$6:J98,J98),"")</f>
        <v/>
      </c>
    </row>
    <row r="99">
      <c r="A99" s="5" t="n"/>
      <c r="B99" s="5" t="n"/>
      <c r="C99" s="5" t="n"/>
      <c r="D99" s="16" t="n"/>
      <c r="E99" s="13" t="n"/>
      <c r="F99" s="13" t="n"/>
      <c r="G99" s="5" t="n"/>
      <c r="H99" s="17">
        <f>IF(C99&amp;""="","",IFERROR(VLOOKUP(C99,'الإعدادات'!$A$8:$B$13,2,FALSE),""))</f>
        <v/>
      </c>
      <c r="I99" s="18">
        <f>IF(OR(H99="",NOT(ISNUMBER(D99))),"",ROUND(D99*H99,2))</f>
        <v/>
      </c>
      <c r="J99" s="6">
        <f>IF(A99&amp;""="","",IF(OR(C99="تم",C99="خسارة"),"مغلقة",IF(NOT(ISNUMBER(E99)),"بلا موعد",IF(E99&lt;'الإعدادات'!$B$4,"متأخرة",IF(E99='الإعدادات'!$B$4,"اليوم","قادمة")))))</f>
        <v/>
      </c>
      <c r="K99" s="19">
        <f>IF(OR(J99="متأخرة",J99="اليوم"),'الإعدادات'!$B$4-E99,"")</f>
        <v/>
      </c>
      <c r="L99" s="19">
        <f>IF(OR(A99&amp;""="",NOT(ISNUMBER(F99))),"",'الإعدادات'!$B$4-F99)</f>
        <v/>
      </c>
      <c r="M99" s="19">
        <f>IF(OR(J99="متأخرة",J99="اليوم"),COUNTIFS($J$6:$J$505,"متأخرة",$E$6:$E$505,"&lt;"&amp;E99)+COUNTIFS($J$6:$J$505,"اليوم",$E$6:$E$505,"&lt;"&amp;E99)+COUNTIFS($E$6:E99,E99&amp;"",$J$6:J99,J99),"")</f>
        <v/>
      </c>
    </row>
    <row r="100">
      <c r="A100" s="5" t="n"/>
      <c r="B100" s="5" t="n"/>
      <c r="C100" s="5" t="n"/>
      <c r="D100" s="16" t="n"/>
      <c r="E100" s="13" t="n"/>
      <c r="F100" s="13" t="n"/>
      <c r="G100" s="5" t="n"/>
      <c r="H100" s="17">
        <f>IF(C100&amp;""="","",IFERROR(VLOOKUP(C100,'الإعدادات'!$A$8:$B$13,2,FALSE),""))</f>
        <v/>
      </c>
      <c r="I100" s="18">
        <f>IF(OR(H100="",NOT(ISNUMBER(D100))),"",ROUND(D100*H100,2))</f>
        <v/>
      </c>
      <c r="J100" s="6">
        <f>IF(A100&amp;""="","",IF(OR(C100="تم",C100="خسارة"),"مغلقة",IF(NOT(ISNUMBER(E100)),"بلا موعد",IF(E100&lt;'الإعدادات'!$B$4,"متأخرة",IF(E100='الإعدادات'!$B$4,"اليوم","قادمة")))))</f>
        <v/>
      </c>
      <c r="K100" s="19">
        <f>IF(OR(J100="متأخرة",J100="اليوم"),'الإعدادات'!$B$4-E100,"")</f>
        <v/>
      </c>
      <c r="L100" s="19">
        <f>IF(OR(A100&amp;""="",NOT(ISNUMBER(F100))),"",'الإعدادات'!$B$4-F100)</f>
        <v/>
      </c>
      <c r="M100" s="19">
        <f>IF(OR(J100="متأخرة",J100="اليوم"),COUNTIFS($J$6:$J$505,"متأخرة",$E$6:$E$505,"&lt;"&amp;E100)+COUNTIFS($J$6:$J$505,"اليوم",$E$6:$E$505,"&lt;"&amp;E100)+COUNTIFS($E$6:E100,E100&amp;"",$J$6:J100,J100),"")</f>
        <v/>
      </c>
    </row>
    <row r="101">
      <c r="A101" s="5" t="n"/>
      <c r="B101" s="5" t="n"/>
      <c r="C101" s="5" t="n"/>
      <c r="D101" s="16" t="n"/>
      <c r="E101" s="13" t="n"/>
      <c r="F101" s="13" t="n"/>
      <c r="G101" s="5" t="n"/>
      <c r="H101" s="17">
        <f>IF(C101&amp;""="","",IFERROR(VLOOKUP(C101,'الإعدادات'!$A$8:$B$13,2,FALSE),""))</f>
        <v/>
      </c>
      <c r="I101" s="18">
        <f>IF(OR(H101="",NOT(ISNUMBER(D101))),"",ROUND(D101*H101,2))</f>
        <v/>
      </c>
      <c r="J101" s="6">
        <f>IF(A101&amp;""="","",IF(OR(C101="تم",C101="خسارة"),"مغلقة",IF(NOT(ISNUMBER(E101)),"بلا موعد",IF(E101&lt;'الإعدادات'!$B$4,"متأخرة",IF(E101='الإعدادات'!$B$4,"اليوم","قادمة")))))</f>
        <v/>
      </c>
      <c r="K101" s="19">
        <f>IF(OR(J101="متأخرة",J101="اليوم"),'الإعدادات'!$B$4-E101,"")</f>
        <v/>
      </c>
      <c r="L101" s="19">
        <f>IF(OR(A101&amp;""="",NOT(ISNUMBER(F101))),"",'الإعدادات'!$B$4-F101)</f>
        <v/>
      </c>
      <c r="M101" s="19">
        <f>IF(OR(J101="متأخرة",J101="اليوم"),COUNTIFS($J$6:$J$505,"متأخرة",$E$6:$E$505,"&lt;"&amp;E101)+COUNTIFS($J$6:$J$505,"اليوم",$E$6:$E$505,"&lt;"&amp;E101)+COUNTIFS($E$6:E101,E101&amp;"",$J$6:J101,J101),"")</f>
        <v/>
      </c>
    </row>
    <row r="102">
      <c r="A102" s="5" t="n"/>
      <c r="B102" s="5" t="n"/>
      <c r="C102" s="5" t="n"/>
      <c r="D102" s="16" t="n"/>
      <c r="E102" s="13" t="n"/>
      <c r="F102" s="13" t="n"/>
      <c r="G102" s="5" t="n"/>
      <c r="H102" s="17">
        <f>IF(C102&amp;""="","",IFERROR(VLOOKUP(C102,'الإعدادات'!$A$8:$B$13,2,FALSE),""))</f>
        <v/>
      </c>
      <c r="I102" s="18">
        <f>IF(OR(H102="",NOT(ISNUMBER(D102))),"",ROUND(D102*H102,2))</f>
        <v/>
      </c>
      <c r="J102" s="6">
        <f>IF(A102&amp;""="","",IF(OR(C102="تم",C102="خسارة"),"مغلقة",IF(NOT(ISNUMBER(E102)),"بلا موعد",IF(E102&lt;'الإعدادات'!$B$4,"متأخرة",IF(E102='الإعدادات'!$B$4,"اليوم","قادمة")))))</f>
        <v/>
      </c>
      <c r="K102" s="19">
        <f>IF(OR(J102="متأخرة",J102="اليوم"),'الإعدادات'!$B$4-E102,"")</f>
        <v/>
      </c>
      <c r="L102" s="19">
        <f>IF(OR(A102&amp;""="",NOT(ISNUMBER(F102))),"",'الإعدادات'!$B$4-F102)</f>
        <v/>
      </c>
      <c r="M102" s="19">
        <f>IF(OR(J102="متأخرة",J102="اليوم"),COUNTIFS($J$6:$J$505,"متأخرة",$E$6:$E$505,"&lt;"&amp;E102)+COUNTIFS($J$6:$J$505,"اليوم",$E$6:$E$505,"&lt;"&amp;E102)+COUNTIFS($E$6:E102,E102&amp;"",$J$6:J102,J102),"")</f>
        <v/>
      </c>
    </row>
    <row r="103">
      <c r="A103" s="5" t="n"/>
      <c r="B103" s="5" t="n"/>
      <c r="C103" s="5" t="n"/>
      <c r="D103" s="16" t="n"/>
      <c r="E103" s="13" t="n"/>
      <c r="F103" s="13" t="n"/>
      <c r="G103" s="5" t="n"/>
      <c r="H103" s="17">
        <f>IF(C103&amp;""="","",IFERROR(VLOOKUP(C103,'الإعدادات'!$A$8:$B$13,2,FALSE),""))</f>
        <v/>
      </c>
      <c r="I103" s="18">
        <f>IF(OR(H103="",NOT(ISNUMBER(D103))),"",ROUND(D103*H103,2))</f>
        <v/>
      </c>
      <c r="J103" s="6">
        <f>IF(A103&amp;""="","",IF(OR(C103="تم",C103="خسارة"),"مغلقة",IF(NOT(ISNUMBER(E103)),"بلا موعد",IF(E103&lt;'الإعدادات'!$B$4,"متأخرة",IF(E103='الإعدادات'!$B$4,"اليوم","قادمة")))))</f>
        <v/>
      </c>
      <c r="K103" s="19">
        <f>IF(OR(J103="متأخرة",J103="اليوم"),'الإعدادات'!$B$4-E103,"")</f>
        <v/>
      </c>
      <c r="L103" s="19">
        <f>IF(OR(A103&amp;""="",NOT(ISNUMBER(F103))),"",'الإعدادات'!$B$4-F103)</f>
        <v/>
      </c>
      <c r="M103" s="19">
        <f>IF(OR(J103="متأخرة",J103="اليوم"),COUNTIFS($J$6:$J$505,"متأخرة",$E$6:$E$505,"&lt;"&amp;E103)+COUNTIFS($J$6:$J$505,"اليوم",$E$6:$E$505,"&lt;"&amp;E103)+COUNTIFS($E$6:E103,E103&amp;"",$J$6:J103,J103),"")</f>
        <v/>
      </c>
    </row>
    <row r="104">
      <c r="A104" s="5" t="n"/>
      <c r="B104" s="5" t="n"/>
      <c r="C104" s="5" t="n"/>
      <c r="D104" s="16" t="n"/>
      <c r="E104" s="13" t="n"/>
      <c r="F104" s="13" t="n"/>
      <c r="G104" s="5" t="n"/>
      <c r="H104" s="17">
        <f>IF(C104&amp;""="","",IFERROR(VLOOKUP(C104,'الإعدادات'!$A$8:$B$13,2,FALSE),""))</f>
        <v/>
      </c>
      <c r="I104" s="18">
        <f>IF(OR(H104="",NOT(ISNUMBER(D104))),"",ROUND(D104*H104,2))</f>
        <v/>
      </c>
      <c r="J104" s="6">
        <f>IF(A104&amp;""="","",IF(OR(C104="تم",C104="خسارة"),"مغلقة",IF(NOT(ISNUMBER(E104)),"بلا موعد",IF(E104&lt;'الإعدادات'!$B$4,"متأخرة",IF(E104='الإعدادات'!$B$4,"اليوم","قادمة")))))</f>
        <v/>
      </c>
      <c r="K104" s="19">
        <f>IF(OR(J104="متأخرة",J104="اليوم"),'الإعدادات'!$B$4-E104,"")</f>
        <v/>
      </c>
      <c r="L104" s="19">
        <f>IF(OR(A104&amp;""="",NOT(ISNUMBER(F104))),"",'الإعدادات'!$B$4-F104)</f>
        <v/>
      </c>
      <c r="M104" s="19">
        <f>IF(OR(J104="متأخرة",J104="اليوم"),COUNTIFS($J$6:$J$505,"متأخرة",$E$6:$E$505,"&lt;"&amp;E104)+COUNTIFS($J$6:$J$505,"اليوم",$E$6:$E$505,"&lt;"&amp;E104)+COUNTIFS($E$6:E104,E104&amp;"",$J$6:J104,J104),"")</f>
        <v/>
      </c>
    </row>
    <row r="105">
      <c r="A105" s="5" t="n"/>
      <c r="B105" s="5" t="n"/>
      <c r="C105" s="5" t="n"/>
      <c r="D105" s="16" t="n"/>
      <c r="E105" s="13" t="n"/>
      <c r="F105" s="13" t="n"/>
      <c r="G105" s="5" t="n"/>
      <c r="H105" s="17">
        <f>IF(C105&amp;""="","",IFERROR(VLOOKUP(C105,'الإعدادات'!$A$8:$B$13,2,FALSE),""))</f>
        <v/>
      </c>
      <c r="I105" s="18">
        <f>IF(OR(H105="",NOT(ISNUMBER(D105))),"",ROUND(D105*H105,2))</f>
        <v/>
      </c>
      <c r="J105" s="6">
        <f>IF(A105&amp;""="","",IF(OR(C105="تم",C105="خسارة"),"مغلقة",IF(NOT(ISNUMBER(E105)),"بلا موعد",IF(E105&lt;'الإعدادات'!$B$4,"متأخرة",IF(E105='الإعدادات'!$B$4,"اليوم","قادمة")))))</f>
        <v/>
      </c>
      <c r="K105" s="19">
        <f>IF(OR(J105="متأخرة",J105="اليوم"),'الإعدادات'!$B$4-E105,"")</f>
        <v/>
      </c>
      <c r="L105" s="19">
        <f>IF(OR(A105&amp;""="",NOT(ISNUMBER(F105))),"",'الإعدادات'!$B$4-F105)</f>
        <v/>
      </c>
      <c r="M105" s="19">
        <f>IF(OR(J105="متأخرة",J105="اليوم"),COUNTIFS($J$6:$J$505,"متأخرة",$E$6:$E$505,"&lt;"&amp;E105)+COUNTIFS($J$6:$J$505,"اليوم",$E$6:$E$505,"&lt;"&amp;E105)+COUNTIFS($E$6:E105,E105&amp;"",$J$6:J105,J105),"")</f>
        <v/>
      </c>
    </row>
    <row r="106">
      <c r="A106" s="5" t="n"/>
      <c r="B106" s="5" t="n"/>
      <c r="C106" s="5" t="n"/>
      <c r="D106" s="16" t="n"/>
      <c r="E106" s="13" t="n"/>
      <c r="F106" s="13" t="n"/>
      <c r="G106" s="5" t="n"/>
      <c r="H106" s="17">
        <f>IF(C106&amp;""="","",IFERROR(VLOOKUP(C106,'الإعدادات'!$A$8:$B$13,2,FALSE),""))</f>
        <v/>
      </c>
      <c r="I106" s="18">
        <f>IF(OR(H106="",NOT(ISNUMBER(D106))),"",ROUND(D106*H106,2))</f>
        <v/>
      </c>
      <c r="J106" s="6">
        <f>IF(A106&amp;""="","",IF(OR(C106="تم",C106="خسارة"),"مغلقة",IF(NOT(ISNUMBER(E106)),"بلا موعد",IF(E106&lt;'الإعدادات'!$B$4,"متأخرة",IF(E106='الإعدادات'!$B$4,"اليوم","قادمة")))))</f>
        <v/>
      </c>
      <c r="K106" s="19">
        <f>IF(OR(J106="متأخرة",J106="اليوم"),'الإعدادات'!$B$4-E106,"")</f>
        <v/>
      </c>
      <c r="L106" s="19">
        <f>IF(OR(A106&amp;""="",NOT(ISNUMBER(F106))),"",'الإعدادات'!$B$4-F106)</f>
        <v/>
      </c>
      <c r="M106" s="19">
        <f>IF(OR(J106="متأخرة",J106="اليوم"),COUNTIFS($J$6:$J$505,"متأخرة",$E$6:$E$505,"&lt;"&amp;E106)+COUNTIFS($J$6:$J$505,"اليوم",$E$6:$E$505,"&lt;"&amp;E106)+COUNTIFS($E$6:E106,E106&amp;"",$J$6:J106,J106),"")</f>
        <v/>
      </c>
    </row>
    <row r="107">
      <c r="A107" s="5" t="n"/>
      <c r="B107" s="5" t="n"/>
      <c r="C107" s="5" t="n"/>
      <c r="D107" s="16" t="n"/>
      <c r="E107" s="13" t="n"/>
      <c r="F107" s="13" t="n"/>
      <c r="G107" s="5" t="n"/>
      <c r="H107" s="17">
        <f>IF(C107&amp;""="","",IFERROR(VLOOKUP(C107,'الإعدادات'!$A$8:$B$13,2,FALSE),""))</f>
        <v/>
      </c>
      <c r="I107" s="18">
        <f>IF(OR(H107="",NOT(ISNUMBER(D107))),"",ROUND(D107*H107,2))</f>
        <v/>
      </c>
      <c r="J107" s="6">
        <f>IF(A107&amp;""="","",IF(OR(C107="تم",C107="خسارة"),"مغلقة",IF(NOT(ISNUMBER(E107)),"بلا موعد",IF(E107&lt;'الإعدادات'!$B$4,"متأخرة",IF(E107='الإعدادات'!$B$4,"اليوم","قادمة")))))</f>
        <v/>
      </c>
      <c r="K107" s="19">
        <f>IF(OR(J107="متأخرة",J107="اليوم"),'الإعدادات'!$B$4-E107,"")</f>
        <v/>
      </c>
      <c r="L107" s="19">
        <f>IF(OR(A107&amp;""="",NOT(ISNUMBER(F107))),"",'الإعدادات'!$B$4-F107)</f>
        <v/>
      </c>
      <c r="M107" s="19">
        <f>IF(OR(J107="متأخرة",J107="اليوم"),COUNTIFS($J$6:$J$505,"متأخرة",$E$6:$E$505,"&lt;"&amp;E107)+COUNTIFS($J$6:$J$505,"اليوم",$E$6:$E$505,"&lt;"&amp;E107)+COUNTIFS($E$6:E107,E107&amp;"",$J$6:J107,J107),"")</f>
        <v/>
      </c>
    </row>
    <row r="108">
      <c r="A108" s="5" t="n"/>
      <c r="B108" s="5" t="n"/>
      <c r="C108" s="5" t="n"/>
      <c r="D108" s="16" t="n"/>
      <c r="E108" s="13" t="n"/>
      <c r="F108" s="13" t="n"/>
      <c r="G108" s="5" t="n"/>
      <c r="H108" s="17">
        <f>IF(C108&amp;""="","",IFERROR(VLOOKUP(C108,'الإعدادات'!$A$8:$B$13,2,FALSE),""))</f>
        <v/>
      </c>
      <c r="I108" s="18">
        <f>IF(OR(H108="",NOT(ISNUMBER(D108))),"",ROUND(D108*H108,2))</f>
        <v/>
      </c>
      <c r="J108" s="6">
        <f>IF(A108&amp;""="","",IF(OR(C108="تم",C108="خسارة"),"مغلقة",IF(NOT(ISNUMBER(E108)),"بلا موعد",IF(E108&lt;'الإعدادات'!$B$4,"متأخرة",IF(E108='الإعدادات'!$B$4,"اليوم","قادمة")))))</f>
        <v/>
      </c>
      <c r="K108" s="19">
        <f>IF(OR(J108="متأخرة",J108="اليوم"),'الإعدادات'!$B$4-E108,"")</f>
        <v/>
      </c>
      <c r="L108" s="19">
        <f>IF(OR(A108&amp;""="",NOT(ISNUMBER(F108))),"",'الإعدادات'!$B$4-F108)</f>
        <v/>
      </c>
      <c r="M108" s="19">
        <f>IF(OR(J108="متأخرة",J108="اليوم"),COUNTIFS($J$6:$J$505,"متأخرة",$E$6:$E$505,"&lt;"&amp;E108)+COUNTIFS($J$6:$J$505,"اليوم",$E$6:$E$505,"&lt;"&amp;E108)+COUNTIFS($E$6:E108,E108&amp;"",$J$6:J108,J108),"")</f>
        <v/>
      </c>
    </row>
    <row r="109">
      <c r="A109" s="5" t="n"/>
      <c r="B109" s="5" t="n"/>
      <c r="C109" s="5" t="n"/>
      <c r="D109" s="16" t="n"/>
      <c r="E109" s="13" t="n"/>
      <c r="F109" s="13" t="n"/>
      <c r="G109" s="5" t="n"/>
      <c r="H109" s="17">
        <f>IF(C109&amp;""="","",IFERROR(VLOOKUP(C109,'الإعدادات'!$A$8:$B$13,2,FALSE),""))</f>
        <v/>
      </c>
      <c r="I109" s="18">
        <f>IF(OR(H109="",NOT(ISNUMBER(D109))),"",ROUND(D109*H109,2))</f>
        <v/>
      </c>
      <c r="J109" s="6">
        <f>IF(A109&amp;""="","",IF(OR(C109="تم",C109="خسارة"),"مغلقة",IF(NOT(ISNUMBER(E109)),"بلا موعد",IF(E109&lt;'الإعدادات'!$B$4,"متأخرة",IF(E109='الإعدادات'!$B$4,"اليوم","قادمة")))))</f>
        <v/>
      </c>
      <c r="K109" s="19">
        <f>IF(OR(J109="متأخرة",J109="اليوم"),'الإعدادات'!$B$4-E109,"")</f>
        <v/>
      </c>
      <c r="L109" s="19">
        <f>IF(OR(A109&amp;""="",NOT(ISNUMBER(F109))),"",'الإعدادات'!$B$4-F109)</f>
        <v/>
      </c>
      <c r="M109" s="19">
        <f>IF(OR(J109="متأخرة",J109="اليوم"),COUNTIFS($J$6:$J$505,"متأخرة",$E$6:$E$505,"&lt;"&amp;E109)+COUNTIFS($J$6:$J$505,"اليوم",$E$6:$E$505,"&lt;"&amp;E109)+COUNTIFS($E$6:E109,E109&amp;"",$J$6:J109,J109),"")</f>
        <v/>
      </c>
    </row>
    <row r="110">
      <c r="A110" s="5" t="n"/>
      <c r="B110" s="5" t="n"/>
      <c r="C110" s="5" t="n"/>
      <c r="D110" s="16" t="n"/>
      <c r="E110" s="13" t="n"/>
      <c r="F110" s="13" t="n"/>
      <c r="G110" s="5" t="n"/>
      <c r="H110" s="17">
        <f>IF(C110&amp;""="","",IFERROR(VLOOKUP(C110,'الإعدادات'!$A$8:$B$13,2,FALSE),""))</f>
        <v/>
      </c>
      <c r="I110" s="18">
        <f>IF(OR(H110="",NOT(ISNUMBER(D110))),"",ROUND(D110*H110,2))</f>
        <v/>
      </c>
      <c r="J110" s="6">
        <f>IF(A110&amp;""="","",IF(OR(C110="تم",C110="خسارة"),"مغلقة",IF(NOT(ISNUMBER(E110)),"بلا موعد",IF(E110&lt;'الإعدادات'!$B$4,"متأخرة",IF(E110='الإعدادات'!$B$4,"اليوم","قادمة")))))</f>
        <v/>
      </c>
      <c r="K110" s="19">
        <f>IF(OR(J110="متأخرة",J110="اليوم"),'الإعدادات'!$B$4-E110,"")</f>
        <v/>
      </c>
      <c r="L110" s="19">
        <f>IF(OR(A110&amp;""="",NOT(ISNUMBER(F110))),"",'الإعدادات'!$B$4-F110)</f>
        <v/>
      </c>
      <c r="M110" s="19">
        <f>IF(OR(J110="متأخرة",J110="اليوم"),COUNTIFS($J$6:$J$505,"متأخرة",$E$6:$E$505,"&lt;"&amp;E110)+COUNTIFS($J$6:$J$505,"اليوم",$E$6:$E$505,"&lt;"&amp;E110)+COUNTIFS($E$6:E110,E110&amp;"",$J$6:J110,J110),"")</f>
        <v/>
      </c>
    </row>
    <row r="111">
      <c r="A111" s="5" t="n"/>
      <c r="B111" s="5" t="n"/>
      <c r="C111" s="5" t="n"/>
      <c r="D111" s="16" t="n"/>
      <c r="E111" s="13" t="n"/>
      <c r="F111" s="13" t="n"/>
      <c r="G111" s="5" t="n"/>
      <c r="H111" s="17">
        <f>IF(C111&amp;""="","",IFERROR(VLOOKUP(C111,'الإعدادات'!$A$8:$B$13,2,FALSE),""))</f>
        <v/>
      </c>
      <c r="I111" s="18">
        <f>IF(OR(H111="",NOT(ISNUMBER(D111))),"",ROUND(D111*H111,2))</f>
        <v/>
      </c>
      <c r="J111" s="6">
        <f>IF(A111&amp;""="","",IF(OR(C111="تم",C111="خسارة"),"مغلقة",IF(NOT(ISNUMBER(E111)),"بلا موعد",IF(E111&lt;'الإعدادات'!$B$4,"متأخرة",IF(E111='الإعدادات'!$B$4,"اليوم","قادمة")))))</f>
        <v/>
      </c>
      <c r="K111" s="19">
        <f>IF(OR(J111="متأخرة",J111="اليوم"),'الإعدادات'!$B$4-E111,"")</f>
        <v/>
      </c>
      <c r="L111" s="19">
        <f>IF(OR(A111&amp;""="",NOT(ISNUMBER(F111))),"",'الإعدادات'!$B$4-F111)</f>
        <v/>
      </c>
      <c r="M111" s="19">
        <f>IF(OR(J111="متأخرة",J111="اليوم"),COUNTIFS($J$6:$J$505,"متأخرة",$E$6:$E$505,"&lt;"&amp;E111)+COUNTIFS($J$6:$J$505,"اليوم",$E$6:$E$505,"&lt;"&amp;E111)+COUNTIFS($E$6:E111,E111&amp;"",$J$6:J111,J111),"")</f>
        <v/>
      </c>
    </row>
    <row r="112">
      <c r="A112" s="5" t="n"/>
      <c r="B112" s="5" t="n"/>
      <c r="C112" s="5" t="n"/>
      <c r="D112" s="16" t="n"/>
      <c r="E112" s="13" t="n"/>
      <c r="F112" s="13" t="n"/>
      <c r="G112" s="5" t="n"/>
      <c r="H112" s="17">
        <f>IF(C112&amp;""="","",IFERROR(VLOOKUP(C112,'الإعدادات'!$A$8:$B$13,2,FALSE),""))</f>
        <v/>
      </c>
      <c r="I112" s="18">
        <f>IF(OR(H112="",NOT(ISNUMBER(D112))),"",ROUND(D112*H112,2))</f>
        <v/>
      </c>
      <c r="J112" s="6">
        <f>IF(A112&amp;""="","",IF(OR(C112="تم",C112="خسارة"),"مغلقة",IF(NOT(ISNUMBER(E112)),"بلا موعد",IF(E112&lt;'الإعدادات'!$B$4,"متأخرة",IF(E112='الإعدادات'!$B$4,"اليوم","قادمة")))))</f>
        <v/>
      </c>
      <c r="K112" s="19">
        <f>IF(OR(J112="متأخرة",J112="اليوم"),'الإعدادات'!$B$4-E112,"")</f>
        <v/>
      </c>
      <c r="L112" s="19">
        <f>IF(OR(A112&amp;""="",NOT(ISNUMBER(F112))),"",'الإعدادات'!$B$4-F112)</f>
        <v/>
      </c>
      <c r="M112" s="19">
        <f>IF(OR(J112="متأخرة",J112="اليوم"),COUNTIFS($J$6:$J$505,"متأخرة",$E$6:$E$505,"&lt;"&amp;E112)+COUNTIFS($J$6:$J$505,"اليوم",$E$6:$E$505,"&lt;"&amp;E112)+COUNTIFS($E$6:E112,E112&amp;"",$J$6:J112,J112),"")</f>
        <v/>
      </c>
    </row>
    <row r="113">
      <c r="A113" s="5" t="n"/>
      <c r="B113" s="5" t="n"/>
      <c r="C113" s="5" t="n"/>
      <c r="D113" s="16" t="n"/>
      <c r="E113" s="13" t="n"/>
      <c r="F113" s="13" t="n"/>
      <c r="G113" s="5" t="n"/>
      <c r="H113" s="17">
        <f>IF(C113&amp;""="","",IFERROR(VLOOKUP(C113,'الإعدادات'!$A$8:$B$13,2,FALSE),""))</f>
        <v/>
      </c>
      <c r="I113" s="18">
        <f>IF(OR(H113="",NOT(ISNUMBER(D113))),"",ROUND(D113*H113,2))</f>
        <v/>
      </c>
      <c r="J113" s="6">
        <f>IF(A113&amp;""="","",IF(OR(C113="تم",C113="خسارة"),"مغلقة",IF(NOT(ISNUMBER(E113)),"بلا موعد",IF(E113&lt;'الإعدادات'!$B$4,"متأخرة",IF(E113='الإعدادات'!$B$4,"اليوم","قادمة")))))</f>
        <v/>
      </c>
      <c r="K113" s="19">
        <f>IF(OR(J113="متأخرة",J113="اليوم"),'الإعدادات'!$B$4-E113,"")</f>
        <v/>
      </c>
      <c r="L113" s="19">
        <f>IF(OR(A113&amp;""="",NOT(ISNUMBER(F113))),"",'الإعدادات'!$B$4-F113)</f>
        <v/>
      </c>
      <c r="M113" s="19">
        <f>IF(OR(J113="متأخرة",J113="اليوم"),COUNTIFS($J$6:$J$505,"متأخرة",$E$6:$E$505,"&lt;"&amp;E113)+COUNTIFS($J$6:$J$505,"اليوم",$E$6:$E$505,"&lt;"&amp;E113)+COUNTIFS($E$6:E113,E113&amp;"",$J$6:J113,J113),"")</f>
        <v/>
      </c>
    </row>
    <row r="114">
      <c r="A114" s="5" t="n"/>
      <c r="B114" s="5" t="n"/>
      <c r="C114" s="5" t="n"/>
      <c r="D114" s="16" t="n"/>
      <c r="E114" s="13" t="n"/>
      <c r="F114" s="13" t="n"/>
      <c r="G114" s="5" t="n"/>
      <c r="H114" s="17">
        <f>IF(C114&amp;""="","",IFERROR(VLOOKUP(C114,'الإعدادات'!$A$8:$B$13,2,FALSE),""))</f>
        <v/>
      </c>
      <c r="I114" s="18">
        <f>IF(OR(H114="",NOT(ISNUMBER(D114))),"",ROUND(D114*H114,2))</f>
        <v/>
      </c>
      <c r="J114" s="6">
        <f>IF(A114&amp;""="","",IF(OR(C114="تم",C114="خسارة"),"مغلقة",IF(NOT(ISNUMBER(E114)),"بلا موعد",IF(E114&lt;'الإعدادات'!$B$4,"متأخرة",IF(E114='الإعدادات'!$B$4,"اليوم","قادمة")))))</f>
        <v/>
      </c>
      <c r="K114" s="19">
        <f>IF(OR(J114="متأخرة",J114="اليوم"),'الإعدادات'!$B$4-E114,"")</f>
        <v/>
      </c>
      <c r="L114" s="19">
        <f>IF(OR(A114&amp;""="",NOT(ISNUMBER(F114))),"",'الإعدادات'!$B$4-F114)</f>
        <v/>
      </c>
      <c r="M114" s="19">
        <f>IF(OR(J114="متأخرة",J114="اليوم"),COUNTIFS($J$6:$J$505,"متأخرة",$E$6:$E$505,"&lt;"&amp;E114)+COUNTIFS($J$6:$J$505,"اليوم",$E$6:$E$505,"&lt;"&amp;E114)+COUNTIFS($E$6:E114,E114&amp;"",$J$6:J114,J114),"")</f>
        <v/>
      </c>
    </row>
    <row r="115">
      <c r="A115" s="5" t="n"/>
      <c r="B115" s="5" t="n"/>
      <c r="C115" s="5" t="n"/>
      <c r="D115" s="16" t="n"/>
      <c r="E115" s="13" t="n"/>
      <c r="F115" s="13" t="n"/>
      <c r="G115" s="5" t="n"/>
      <c r="H115" s="17">
        <f>IF(C115&amp;""="","",IFERROR(VLOOKUP(C115,'الإعدادات'!$A$8:$B$13,2,FALSE),""))</f>
        <v/>
      </c>
      <c r="I115" s="18">
        <f>IF(OR(H115="",NOT(ISNUMBER(D115))),"",ROUND(D115*H115,2))</f>
        <v/>
      </c>
      <c r="J115" s="6">
        <f>IF(A115&amp;""="","",IF(OR(C115="تم",C115="خسارة"),"مغلقة",IF(NOT(ISNUMBER(E115)),"بلا موعد",IF(E115&lt;'الإعدادات'!$B$4,"متأخرة",IF(E115='الإعدادات'!$B$4,"اليوم","قادمة")))))</f>
        <v/>
      </c>
      <c r="K115" s="19">
        <f>IF(OR(J115="متأخرة",J115="اليوم"),'الإعدادات'!$B$4-E115,"")</f>
        <v/>
      </c>
      <c r="L115" s="19">
        <f>IF(OR(A115&amp;""="",NOT(ISNUMBER(F115))),"",'الإعدادات'!$B$4-F115)</f>
        <v/>
      </c>
      <c r="M115" s="19">
        <f>IF(OR(J115="متأخرة",J115="اليوم"),COUNTIFS($J$6:$J$505,"متأخرة",$E$6:$E$505,"&lt;"&amp;E115)+COUNTIFS($J$6:$J$505,"اليوم",$E$6:$E$505,"&lt;"&amp;E115)+COUNTIFS($E$6:E115,E115&amp;"",$J$6:J115,J115),"")</f>
        <v/>
      </c>
    </row>
    <row r="116">
      <c r="A116" s="5" t="n"/>
      <c r="B116" s="5" t="n"/>
      <c r="C116" s="5" t="n"/>
      <c r="D116" s="16" t="n"/>
      <c r="E116" s="13" t="n"/>
      <c r="F116" s="13" t="n"/>
      <c r="G116" s="5" t="n"/>
      <c r="H116" s="17">
        <f>IF(C116&amp;""="","",IFERROR(VLOOKUP(C116,'الإعدادات'!$A$8:$B$13,2,FALSE),""))</f>
        <v/>
      </c>
      <c r="I116" s="18">
        <f>IF(OR(H116="",NOT(ISNUMBER(D116))),"",ROUND(D116*H116,2))</f>
        <v/>
      </c>
      <c r="J116" s="6">
        <f>IF(A116&amp;""="","",IF(OR(C116="تم",C116="خسارة"),"مغلقة",IF(NOT(ISNUMBER(E116)),"بلا موعد",IF(E116&lt;'الإعدادات'!$B$4,"متأخرة",IF(E116='الإعدادات'!$B$4,"اليوم","قادمة")))))</f>
        <v/>
      </c>
      <c r="K116" s="19">
        <f>IF(OR(J116="متأخرة",J116="اليوم"),'الإعدادات'!$B$4-E116,"")</f>
        <v/>
      </c>
      <c r="L116" s="19">
        <f>IF(OR(A116&amp;""="",NOT(ISNUMBER(F116))),"",'الإعدادات'!$B$4-F116)</f>
        <v/>
      </c>
      <c r="M116" s="19">
        <f>IF(OR(J116="متأخرة",J116="اليوم"),COUNTIFS($J$6:$J$505,"متأخرة",$E$6:$E$505,"&lt;"&amp;E116)+COUNTIFS($J$6:$J$505,"اليوم",$E$6:$E$505,"&lt;"&amp;E116)+COUNTIFS($E$6:E116,E116&amp;"",$J$6:J116,J116),"")</f>
        <v/>
      </c>
    </row>
    <row r="117">
      <c r="A117" s="5" t="n"/>
      <c r="B117" s="5" t="n"/>
      <c r="C117" s="5" t="n"/>
      <c r="D117" s="16" t="n"/>
      <c r="E117" s="13" t="n"/>
      <c r="F117" s="13" t="n"/>
      <c r="G117" s="5" t="n"/>
      <c r="H117" s="17">
        <f>IF(C117&amp;""="","",IFERROR(VLOOKUP(C117,'الإعدادات'!$A$8:$B$13,2,FALSE),""))</f>
        <v/>
      </c>
      <c r="I117" s="18">
        <f>IF(OR(H117="",NOT(ISNUMBER(D117))),"",ROUND(D117*H117,2))</f>
        <v/>
      </c>
      <c r="J117" s="6">
        <f>IF(A117&amp;""="","",IF(OR(C117="تم",C117="خسارة"),"مغلقة",IF(NOT(ISNUMBER(E117)),"بلا موعد",IF(E117&lt;'الإعدادات'!$B$4,"متأخرة",IF(E117='الإعدادات'!$B$4,"اليوم","قادمة")))))</f>
        <v/>
      </c>
      <c r="K117" s="19">
        <f>IF(OR(J117="متأخرة",J117="اليوم"),'الإعدادات'!$B$4-E117,"")</f>
        <v/>
      </c>
      <c r="L117" s="19">
        <f>IF(OR(A117&amp;""="",NOT(ISNUMBER(F117))),"",'الإعدادات'!$B$4-F117)</f>
        <v/>
      </c>
      <c r="M117" s="19">
        <f>IF(OR(J117="متأخرة",J117="اليوم"),COUNTIFS($J$6:$J$505,"متأخرة",$E$6:$E$505,"&lt;"&amp;E117)+COUNTIFS($J$6:$J$505,"اليوم",$E$6:$E$505,"&lt;"&amp;E117)+COUNTIFS($E$6:E117,E117&amp;"",$J$6:J117,J117),"")</f>
        <v/>
      </c>
    </row>
    <row r="118">
      <c r="A118" s="5" t="n"/>
      <c r="B118" s="5" t="n"/>
      <c r="C118" s="5" t="n"/>
      <c r="D118" s="16" t="n"/>
      <c r="E118" s="13" t="n"/>
      <c r="F118" s="13" t="n"/>
      <c r="G118" s="5" t="n"/>
      <c r="H118" s="17">
        <f>IF(C118&amp;""="","",IFERROR(VLOOKUP(C118,'الإعدادات'!$A$8:$B$13,2,FALSE),""))</f>
        <v/>
      </c>
      <c r="I118" s="18">
        <f>IF(OR(H118="",NOT(ISNUMBER(D118))),"",ROUND(D118*H118,2))</f>
        <v/>
      </c>
      <c r="J118" s="6">
        <f>IF(A118&amp;""="","",IF(OR(C118="تم",C118="خسارة"),"مغلقة",IF(NOT(ISNUMBER(E118)),"بلا موعد",IF(E118&lt;'الإعدادات'!$B$4,"متأخرة",IF(E118='الإعدادات'!$B$4,"اليوم","قادمة")))))</f>
        <v/>
      </c>
      <c r="K118" s="19">
        <f>IF(OR(J118="متأخرة",J118="اليوم"),'الإعدادات'!$B$4-E118,"")</f>
        <v/>
      </c>
      <c r="L118" s="19">
        <f>IF(OR(A118&amp;""="",NOT(ISNUMBER(F118))),"",'الإعدادات'!$B$4-F118)</f>
        <v/>
      </c>
      <c r="M118" s="19">
        <f>IF(OR(J118="متأخرة",J118="اليوم"),COUNTIFS($J$6:$J$505,"متأخرة",$E$6:$E$505,"&lt;"&amp;E118)+COUNTIFS($J$6:$J$505,"اليوم",$E$6:$E$505,"&lt;"&amp;E118)+COUNTIFS($E$6:E118,E118&amp;"",$J$6:J118,J118),"")</f>
        <v/>
      </c>
    </row>
    <row r="119">
      <c r="A119" s="5" t="n"/>
      <c r="B119" s="5" t="n"/>
      <c r="C119" s="5" t="n"/>
      <c r="D119" s="16" t="n"/>
      <c r="E119" s="13" t="n"/>
      <c r="F119" s="13" t="n"/>
      <c r="G119" s="5" t="n"/>
      <c r="H119" s="17">
        <f>IF(C119&amp;""="","",IFERROR(VLOOKUP(C119,'الإعدادات'!$A$8:$B$13,2,FALSE),""))</f>
        <v/>
      </c>
      <c r="I119" s="18">
        <f>IF(OR(H119="",NOT(ISNUMBER(D119))),"",ROUND(D119*H119,2))</f>
        <v/>
      </c>
      <c r="J119" s="6">
        <f>IF(A119&amp;""="","",IF(OR(C119="تم",C119="خسارة"),"مغلقة",IF(NOT(ISNUMBER(E119)),"بلا موعد",IF(E119&lt;'الإعدادات'!$B$4,"متأخرة",IF(E119='الإعدادات'!$B$4,"اليوم","قادمة")))))</f>
        <v/>
      </c>
      <c r="K119" s="19">
        <f>IF(OR(J119="متأخرة",J119="اليوم"),'الإعدادات'!$B$4-E119,"")</f>
        <v/>
      </c>
      <c r="L119" s="19">
        <f>IF(OR(A119&amp;""="",NOT(ISNUMBER(F119))),"",'الإعدادات'!$B$4-F119)</f>
        <v/>
      </c>
      <c r="M119" s="19">
        <f>IF(OR(J119="متأخرة",J119="اليوم"),COUNTIFS($J$6:$J$505,"متأخرة",$E$6:$E$505,"&lt;"&amp;E119)+COUNTIFS($J$6:$J$505,"اليوم",$E$6:$E$505,"&lt;"&amp;E119)+COUNTIFS($E$6:E119,E119&amp;"",$J$6:J119,J119),"")</f>
        <v/>
      </c>
    </row>
    <row r="120">
      <c r="A120" s="5" t="n"/>
      <c r="B120" s="5" t="n"/>
      <c r="C120" s="5" t="n"/>
      <c r="D120" s="16" t="n"/>
      <c r="E120" s="13" t="n"/>
      <c r="F120" s="13" t="n"/>
      <c r="G120" s="5" t="n"/>
      <c r="H120" s="17">
        <f>IF(C120&amp;""="","",IFERROR(VLOOKUP(C120,'الإعدادات'!$A$8:$B$13,2,FALSE),""))</f>
        <v/>
      </c>
      <c r="I120" s="18">
        <f>IF(OR(H120="",NOT(ISNUMBER(D120))),"",ROUND(D120*H120,2))</f>
        <v/>
      </c>
      <c r="J120" s="6">
        <f>IF(A120&amp;""="","",IF(OR(C120="تم",C120="خسارة"),"مغلقة",IF(NOT(ISNUMBER(E120)),"بلا موعد",IF(E120&lt;'الإعدادات'!$B$4,"متأخرة",IF(E120='الإعدادات'!$B$4,"اليوم","قادمة")))))</f>
        <v/>
      </c>
      <c r="K120" s="19">
        <f>IF(OR(J120="متأخرة",J120="اليوم"),'الإعدادات'!$B$4-E120,"")</f>
        <v/>
      </c>
      <c r="L120" s="19">
        <f>IF(OR(A120&amp;""="",NOT(ISNUMBER(F120))),"",'الإعدادات'!$B$4-F120)</f>
        <v/>
      </c>
      <c r="M120" s="19">
        <f>IF(OR(J120="متأخرة",J120="اليوم"),COUNTIFS($J$6:$J$505,"متأخرة",$E$6:$E$505,"&lt;"&amp;E120)+COUNTIFS($J$6:$J$505,"اليوم",$E$6:$E$505,"&lt;"&amp;E120)+COUNTIFS($E$6:E120,E120&amp;"",$J$6:J120,J120),"")</f>
        <v/>
      </c>
    </row>
    <row r="121">
      <c r="A121" s="5" t="n"/>
      <c r="B121" s="5" t="n"/>
      <c r="C121" s="5" t="n"/>
      <c r="D121" s="16" t="n"/>
      <c r="E121" s="13" t="n"/>
      <c r="F121" s="13" t="n"/>
      <c r="G121" s="5" t="n"/>
      <c r="H121" s="17">
        <f>IF(C121&amp;""="","",IFERROR(VLOOKUP(C121,'الإعدادات'!$A$8:$B$13,2,FALSE),""))</f>
        <v/>
      </c>
      <c r="I121" s="18">
        <f>IF(OR(H121="",NOT(ISNUMBER(D121))),"",ROUND(D121*H121,2))</f>
        <v/>
      </c>
      <c r="J121" s="6">
        <f>IF(A121&amp;""="","",IF(OR(C121="تم",C121="خسارة"),"مغلقة",IF(NOT(ISNUMBER(E121)),"بلا موعد",IF(E121&lt;'الإعدادات'!$B$4,"متأخرة",IF(E121='الإعدادات'!$B$4,"اليوم","قادمة")))))</f>
        <v/>
      </c>
      <c r="K121" s="19">
        <f>IF(OR(J121="متأخرة",J121="اليوم"),'الإعدادات'!$B$4-E121,"")</f>
        <v/>
      </c>
      <c r="L121" s="19">
        <f>IF(OR(A121&amp;""="",NOT(ISNUMBER(F121))),"",'الإعدادات'!$B$4-F121)</f>
        <v/>
      </c>
      <c r="M121" s="19">
        <f>IF(OR(J121="متأخرة",J121="اليوم"),COUNTIFS($J$6:$J$505,"متأخرة",$E$6:$E$505,"&lt;"&amp;E121)+COUNTIFS($J$6:$J$505,"اليوم",$E$6:$E$505,"&lt;"&amp;E121)+COUNTIFS($E$6:E121,E121&amp;"",$J$6:J121,J121),"")</f>
        <v/>
      </c>
    </row>
    <row r="122">
      <c r="A122" s="5" t="n"/>
      <c r="B122" s="5" t="n"/>
      <c r="C122" s="5" t="n"/>
      <c r="D122" s="16" t="n"/>
      <c r="E122" s="13" t="n"/>
      <c r="F122" s="13" t="n"/>
      <c r="G122" s="5" t="n"/>
      <c r="H122" s="17">
        <f>IF(C122&amp;""="","",IFERROR(VLOOKUP(C122,'الإعدادات'!$A$8:$B$13,2,FALSE),""))</f>
        <v/>
      </c>
      <c r="I122" s="18">
        <f>IF(OR(H122="",NOT(ISNUMBER(D122))),"",ROUND(D122*H122,2))</f>
        <v/>
      </c>
      <c r="J122" s="6">
        <f>IF(A122&amp;""="","",IF(OR(C122="تم",C122="خسارة"),"مغلقة",IF(NOT(ISNUMBER(E122)),"بلا موعد",IF(E122&lt;'الإعدادات'!$B$4,"متأخرة",IF(E122='الإعدادات'!$B$4,"اليوم","قادمة")))))</f>
        <v/>
      </c>
      <c r="K122" s="19">
        <f>IF(OR(J122="متأخرة",J122="اليوم"),'الإعدادات'!$B$4-E122,"")</f>
        <v/>
      </c>
      <c r="L122" s="19">
        <f>IF(OR(A122&amp;""="",NOT(ISNUMBER(F122))),"",'الإعدادات'!$B$4-F122)</f>
        <v/>
      </c>
      <c r="M122" s="19">
        <f>IF(OR(J122="متأخرة",J122="اليوم"),COUNTIFS($J$6:$J$505,"متأخرة",$E$6:$E$505,"&lt;"&amp;E122)+COUNTIFS($J$6:$J$505,"اليوم",$E$6:$E$505,"&lt;"&amp;E122)+COUNTIFS($E$6:E122,E122&amp;"",$J$6:J122,J122),"")</f>
        <v/>
      </c>
    </row>
    <row r="123">
      <c r="A123" s="5" t="n"/>
      <c r="B123" s="5" t="n"/>
      <c r="C123" s="5" t="n"/>
      <c r="D123" s="16" t="n"/>
      <c r="E123" s="13" t="n"/>
      <c r="F123" s="13" t="n"/>
      <c r="G123" s="5" t="n"/>
      <c r="H123" s="17">
        <f>IF(C123&amp;""="","",IFERROR(VLOOKUP(C123,'الإعدادات'!$A$8:$B$13,2,FALSE),""))</f>
        <v/>
      </c>
      <c r="I123" s="18">
        <f>IF(OR(H123="",NOT(ISNUMBER(D123))),"",ROUND(D123*H123,2))</f>
        <v/>
      </c>
      <c r="J123" s="6">
        <f>IF(A123&amp;""="","",IF(OR(C123="تم",C123="خسارة"),"مغلقة",IF(NOT(ISNUMBER(E123)),"بلا موعد",IF(E123&lt;'الإعدادات'!$B$4,"متأخرة",IF(E123='الإعدادات'!$B$4,"اليوم","قادمة")))))</f>
        <v/>
      </c>
      <c r="K123" s="19">
        <f>IF(OR(J123="متأخرة",J123="اليوم"),'الإعدادات'!$B$4-E123,"")</f>
        <v/>
      </c>
      <c r="L123" s="19">
        <f>IF(OR(A123&amp;""="",NOT(ISNUMBER(F123))),"",'الإعدادات'!$B$4-F123)</f>
        <v/>
      </c>
      <c r="M123" s="19">
        <f>IF(OR(J123="متأخرة",J123="اليوم"),COUNTIFS($J$6:$J$505,"متأخرة",$E$6:$E$505,"&lt;"&amp;E123)+COUNTIFS($J$6:$J$505,"اليوم",$E$6:$E$505,"&lt;"&amp;E123)+COUNTIFS($E$6:E123,E123&amp;"",$J$6:J123,J123),"")</f>
        <v/>
      </c>
    </row>
    <row r="124">
      <c r="A124" s="5" t="n"/>
      <c r="B124" s="5" t="n"/>
      <c r="C124" s="5" t="n"/>
      <c r="D124" s="16" t="n"/>
      <c r="E124" s="13" t="n"/>
      <c r="F124" s="13" t="n"/>
      <c r="G124" s="5" t="n"/>
      <c r="H124" s="17">
        <f>IF(C124&amp;""="","",IFERROR(VLOOKUP(C124,'الإعدادات'!$A$8:$B$13,2,FALSE),""))</f>
        <v/>
      </c>
      <c r="I124" s="18">
        <f>IF(OR(H124="",NOT(ISNUMBER(D124))),"",ROUND(D124*H124,2))</f>
        <v/>
      </c>
      <c r="J124" s="6">
        <f>IF(A124&amp;""="","",IF(OR(C124="تم",C124="خسارة"),"مغلقة",IF(NOT(ISNUMBER(E124)),"بلا موعد",IF(E124&lt;'الإعدادات'!$B$4,"متأخرة",IF(E124='الإعدادات'!$B$4,"اليوم","قادمة")))))</f>
        <v/>
      </c>
      <c r="K124" s="19">
        <f>IF(OR(J124="متأخرة",J124="اليوم"),'الإعدادات'!$B$4-E124,"")</f>
        <v/>
      </c>
      <c r="L124" s="19">
        <f>IF(OR(A124&amp;""="",NOT(ISNUMBER(F124))),"",'الإعدادات'!$B$4-F124)</f>
        <v/>
      </c>
      <c r="M124" s="19">
        <f>IF(OR(J124="متأخرة",J124="اليوم"),COUNTIFS($J$6:$J$505,"متأخرة",$E$6:$E$505,"&lt;"&amp;E124)+COUNTIFS($J$6:$J$505,"اليوم",$E$6:$E$505,"&lt;"&amp;E124)+COUNTIFS($E$6:E124,E124&amp;"",$J$6:J124,J124),"")</f>
        <v/>
      </c>
    </row>
    <row r="125">
      <c r="A125" s="5" t="n"/>
      <c r="B125" s="5" t="n"/>
      <c r="C125" s="5" t="n"/>
      <c r="D125" s="16" t="n"/>
      <c r="E125" s="13" t="n"/>
      <c r="F125" s="13" t="n"/>
      <c r="G125" s="5" t="n"/>
      <c r="H125" s="17">
        <f>IF(C125&amp;""="","",IFERROR(VLOOKUP(C125,'الإعدادات'!$A$8:$B$13,2,FALSE),""))</f>
        <v/>
      </c>
      <c r="I125" s="18">
        <f>IF(OR(H125="",NOT(ISNUMBER(D125))),"",ROUND(D125*H125,2))</f>
        <v/>
      </c>
      <c r="J125" s="6">
        <f>IF(A125&amp;""="","",IF(OR(C125="تم",C125="خسارة"),"مغلقة",IF(NOT(ISNUMBER(E125)),"بلا موعد",IF(E125&lt;'الإعدادات'!$B$4,"متأخرة",IF(E125='الإعدادات'!$B$4,"اليوم","قادمة")))))</f>
        <v/>
      </c>
      <c r="K125" s="19">
        <f>IF(OR(J125="متأخرة",J125="اليوم"),'الإعدادات'!$B$4-E125,"")</f>
        <v/>
      </c>
      <c r="L125" s="19">
        <f>IF(OR(A125&amp;""="",NOT(ISNUMBER(F125))),"",'الإعدادات'!$B$4-F125)</f>
        <v/>
      </c>
      <c r="M125" s="19">
        <f>IF(OR(J125="متأخرة",J125="اليوم"),COUNTIFS($J$6:$J$505,"متأخرة",$E$6:$E$505,"&lt;"&amp;E125)+COUNTIFS($J$6:$J$505,"اليوم",$E$6:$E$505,"&lt;"&amp;E125)+COUNTIFS($E$6:E125,E125&amp;"",$J$6:J125,J125),"")</f>
        <v/>
      </c>
    </row>
    <row r="126">
      <c r="A126" s="5" t="n"/>
      <c r="B126" s="5" t="n"/>
      <c r="C126" s="5" t="n"/>
      <c r="D126" s="16" t="n"/>
      <c r="E126" s="13" t="n"/>
      <c r="F126" s="13" t="n"/>
      <c r="G126" s="5" t="n"/>
      <c r="H126" s="17">
        <f>IF(C126&amp;""="","",IFERROR(VLOOKUP(C126,'الإعدادات'!$A$8:$B$13,2,FALSE),""))</f>
        <v/>
      </c>
      <c r="I126" s="18">
        <f>IF(OR(H126="",NOT(ISNUMBER(D126))),"",ROUND(D126*H126,2))</f>
        <v/>
      </c>
      <c r="J126" s="6">
        <f>IF(A126&amp;""="","",IF(OR(C126="تم",C126="خسارة"),"مغلقة",IF(NOT(ISNUMBER(E126)),"بلا موعد",IF(E126&lt;'الإعدادات'!$B$4,"متأخرة",IF(E126='الإعدادات'!$B$4,"اليوم","قادمة")))))</f>
        <v/>
      </c>
      <c r="K126" s="19">
        <f>IF(OR(J126="متأخرة",J126="اليوم"),'الإعدادات'!$B$4-E126,"")</f>
        <v/>
      </c>
      <c r="L126" s="19">
        <f>IF(OR(A126&amp;""="",NOT(ISNUMBER(F126))),"",'الإعدادات'!$B$4-F126)</f>
        <v/>
      </c>
      <c r="M126" s="19">
        <f>IF(OR(J126="متأخرة",J126="اليوم"),COUNTIFS($J$6:$J$505,"متأخرة",$E$6:$E$505,"&lt;"&amp;E126)+COUNTIFS($J$6:$J$505,"اليوم",$E$6:$E$505,"&lt;"&amp;E126)+COUNTIFS($E$6:E126,E126&amp;"",$J$6:J126,J126),"")</f>
        <v/>
      </c>
    </row>
    <row r="127">
      <c r="A127" s="5" t="n"/>
      <c r="B127" s="5" t="n"/>
      <c r="C127" s="5" t="n"/>
      <c r="D127" s="16" t="n"/>
      <c r="E127" s="13" t="n"/>
      <c r="F127" s="13" t="n"/>
      <c r="G127" s="5" t="n"/>
      <c r="H127" s="17">
        <f>IF(C127&amp;""="","",IFERROR(VLOOKUP(C127,'الإعدادات'!$A$8:$B$13,2,FALSE),""))</f>
        <v/>
      </c>
      <c r="I127" s="18">
        <f>IF(OR(H127="",NOT(ISNUMBER(D127))),"",ROUND(D127*H127,2))</f>
        <v/>
      </c>
      <c r="J127" s="6">
        <f>IF(A127&amp;""="","",IF(OR(C127="تم",C127="خسارة"),"مغلقة",IF(NOT(ISNUMBER(E127)),"بلا موعد",IF(E127&lt;'الإعدادات'!$B$4,"متأخرة",IF(E127='الإعدادات'!$B$4,"اليوم","قادمة")))))</f>
        <v/>
      </c>
      <c r="K127" s="19">
        <f>IF(OR(J127="متأخرة",J127="اليوم"),'الإعدادات'!$B$4-E127,"")</f>
        <v/>
      </c>
      <c r="L127" s="19">
        <f>IF(OR(A127&amp;""="",NOT(ISNUMBER(F127))),"",'الإعدادات'!$B$4-F127)</f>
        <v/>
      </c>
      <c r="M127" s="19">
        <f>IF(OR(J127="متأخرة",J127="اليوم"),COUNTIFS($J$6:$J$505,"متأخرة",$E$6:$E$505,"&lt;"&amp;E127)+COUNTIFS($J$6:$J$505,"اليوم",$E$6:$E$505,"&lt;"&amp;E127)+COUNTIFS($E$6:E127,E127&amp;"",$J$6:J127,J127),"")</f>
        <v/>
      </c>
    </row>
    <row r="128">
      <c r="A128" s="5" t="n"/>
      <c r="B128" s="5" t="n"/>
      <c r="C128" s="5" t="n"/>
      <c r="D128" s="16" t="n"/>
      <c r="E128" s="13" t="n"/>
      <c r="F128" s="13" t="n"/>
      <c r="G128" s="5" t="n"/>
      <c r="H128" s="17">
        <f>IF(C128&amp;""="","",IFERROR(VLOOKUP(C128,'الإعدادات'!$A$8:$B$13,2,FALSE),""))</f>
        <v/>
      </c>
      <c r="I128" s="18">
        <f>IF(OR(H128="",NOT(ISNUMBER(D128))),"",ROUND(D128*H128,2))</f>
        <v/>
      </c>
      <c r="J128" s="6">
        <f>IF(A128&amp;""="","",IF(OR(C128="تم",C128="خسارة"),"مغلقة",IF(NOT(ISNUMBER(E128)),"بلا موعد",IF(E128&lt;'الإعدادات'!$B$4,"متأخرة",IF(E128='الإعدادات'!$B$4,"اليوم","قادمة")))))</f>
        <v/>
      </c>
      <c r="K128" s="19">
        <f>IF(OR(J128="متأخرة",J128="اليوم"),'الإعدادات'!$B$4-E128,"")</f>
        <v/>
      </c>
      <c r="L128" s="19">
        <f>IF(OR(A128&amp;""="",NOT(ISNUMBER(F128))),"",'الإعدادات'!$B$4-F128)</f>
        <v/>
      </c>
      <c r="M128" s="19">
        <f>IF(OR(J128="متأخرة",J128="اليوم"),COUNTIFS($J$6:$J$505,"متأخرة",$E$6:$E$505,"&lt;"&amp;E128)+COUNTIFS($J$6:$J$505,"اليوم",$E$6:$E$505,"&lt;"&amp;E128)+COUNTIFS($E$6:E128,E128&amp;"",$J$6:J128,J128),"")</f>
        <v/>
      </c>
    </row>
    <row r="129">
      <c r="A129" s="5" t="n"/>
      <c r="B129" s="5" t="n"/>
      <c r="C129" s="5" t="n"/>
      <c r="D129" s="16" t="n"/>
      <c r="E129" s="13" t="n"/>
      <c r="F129" s="13" t="n"/>
      <c r="G129" s="5" t="n"/>
      <c r="H129" s="17">
        <f>IF(C129&amp;""="","",IFERROR(VLOOKUP(C129,'الإعدادات'!$A$8:$B$13,2,FALSE),""))</f>
        <v/>
      </c>
      <c r="I129" s="18">
        <f>IF(OR(H129="",NOT(ISNUMBER(D129))),"",ROUND(D129*H129,2))</f>
        <v/>
      </c>
      <c r="J129" s="6">
        <f>IF(A129&amp;""="","",IF(OR(C129="تم",C129="خسارة"),"مغلقة",IF(NOT(ISNUMBER(E129)),"بلا موعد",IF(E129&lt;'الإعدادات'!$B$4,"متأخرة",IF(E129='الإعدادات'!$B$4,"اليوم","قادمة")))))</f>
        <v/>
      </c>
      <c r="K129" s="19">
        <f>IF(OR(J129="متأخرة",J129="اليوم"),'الإعدادات'!$B$4-E129,"")</f>
        <v/>
      </c>
      <c r="L129" s="19">
        <f>IF(OR(A129&amp;""="",NOT(ISNUMBER(F129))),"",'الإعدادات'!$B$4-F129)</f>
        <v/>
      </c>
      <c r="M129" s="19">
        <f>IF(OR(J129="متأخرة",J129="اليوم"),COUNTIFS($J$6:$J$505,"متأخرة",$E$6:$E$505,"&lt;"&amp;E129)+COUNTIFS($J$6:$J$505,"اليوم",$E$6:$E$505,"&lt;"&amp;E129)+COUNTIFS($E$6:E129,E129&amp;"",$J$6:J129,J129),"")</f>
        <v/>
      </c>
    </row>
    <row r="130">
      <c r="A130" s="5" t="n"/>
      <c r="B130" s="5" t="n"/>
      <c r="C130" s="5" t="n"/>
      <c r="D130" s="16" t="n"/>
      <c r="E130" s="13" t="n"/>
      <c r="F130" s="13" t="n"/>
      <c r="G130" s="5" t="n"/>
      <c r="H130" s="17">
        <f>IF(C130&amp;""="","",IFERROR(VLOOKUP(C130,'الإعدادات'!$A$8:$B$13,2,FALSE),""))</f>
        <v/>
      </c>
      <c r="I130" s="18">
        <f>IF(OR(H130="",NOT(ISNUMBER(D130))),"",ROUND(D130*H130,2))</f>
        <v/>
      </c>
      <c r="J130" s="6">
        <f>IF(A130&amp;""="","",IF(OR(C130="تم",C130="خسارة"),"مغلقة",IF(NOT(ISNUMBER(E130)),"بلا موعد",IF(E130&lt;'الإعدادات'!$B$4,"متأخرة",IF(E130='الإعدادات'!$B$4,"اليوم","قادمة")))))</f>
        <v/>
      </c>
      <c r="K130" s="19">
        <f>IF(OR(J130="متأخرة",J130="اليوم"),'الإعدادات'!$B$4-E130,"")</f>
        <v/>
      </c>
      <c r="L130" s="19">
        <f>IF(OR(A130&amp;""="",NOT(ISNUMBER(F130))),"",'الإعدادات'!$B$4-F130)</f>
        <v/>
      </c>
      <c r="M130" s="19">
        <f>IF(OR(J130="متأخرة",J130="اليوم"),COUNTIFS($J$6:$J$505,"متأخرة",$E$6:$E$505,"&lt;"&amp;E130)+COUNTIFS($J$6:$J$505,"اليوم",$E$6:$E$505,"&lt;"&amp;E130)+COUNTIFS($E$6:E130,E130&amp;"",$J$6:J130,J130),"")</f>
        <v/>
      </c>
    </row>
    <row r="131">
      <c r="A131" s="5" t="n"/>
      <c r="B131" s="5" t="n"/>
      <c r="C131" s="5" t="n"/>
      <c r="D131" s="16" t="n"/>
      <c r="E131" s="13" t="n"/>
      <c r="F131" s="13" t="n"/>
      <c r="G131" s="5" t="n"/>
      <c r="H131" s="17">
        <f>IF(C131&amp;""="","",IFERROR(VLOOKUP(C131,'الإعدادات'!$A$8:$B$13,2,FALSE),""))</f>
        <v/>
      </c>
      <c r="I131" s="18">
        <f>IF(OR(H131="",NOT(ISNUMBER(D131))),"",ROUND(D131*H131,2))</f>
        <v/>
      </c>
      <c r="J131" s="6">
        <f>IF(A131&amp;""="","",IF(OR(C131="تم",C131="خسارة"),"مغلقة",IF(NOT(ISNUMBER(E131)),"بلا موعد",IF(E131&lt;'الإعدادات'!$B$4,"متأخرة",IF(E131='الإعدادات'!$B$4,"اليوم","قادمة")))))</f>
        <v/>
      </c>
      <c r="K131" s="19">
        <f>IF(OR(J131="متأخرة",J131="اليوم"),'الإعدادات'!$B$4-E131,"")</f>
        <v/>
      </c>
      <c r="L131" s="19">
        <f>IF(OR(A131&amp;""="",NOT(ISNUMBER(F131))),"",'الإعدادات'!$B$4-F131)</f>
        <v/>
      </c>
      <c r="M131" s="19">
        <f>IF(OR(J131="متأخرة",J131="اليوم"),COUNTIFS($J$6:$J$505,"متأخرة",$E$6:$E$505,"&lt;"&amp;E131)+COUNTIFS($J$6:$J$505,"اليوم",$E$6:$E$505,"&lt;"&amp;E131)+COUNTIFS($E$6:E131,E131&amp;"",$J$6:J131,J131),"")</f>
        <v/>
      </c>
    </row>
    <row r="132">
      <c r="A132" s="5" t="n"/>
      <c r="B132" s="5" t="n"/>
      <c r="C132" s="5" t="n"/>
      <c r="D132" s="16" t="n"/>
      <c r="E132" s="13" t="n"/>
      <c r="F132" s="13" t="n"/>
      <c r="G132" s="5" t="n"/>
      <c r="H132" s="17">
        <f>IF(C132&amp;""="","",IFERROR(VLOOKUP(C132,'الإعدادات'!$A$8:$B$13,2,FALSE),""))</f>
        <v/>
      </c>
      <c r="I132" s="18">
        <f>IF(OR(H132="",NOT(ISNUMBER(D132))),"",ROUND(D132*H132,2))</f>
        <v/>
      </c>
      <c r="J132" s="6">
        <f>IF(A132&amp;""="","",IF(OR(C132="تم",C132="خسارة"),"مغلقة",IF(NOT(ISNUMBER(E132)),"بلا موعد",IF(E132&lt;'الإعدادات'!$B$4,"متأخرة",IF(E132='الإعدادات'!$B$4,"اليوم","قادمة")))))</f>
        <v/>
      </c>
      <c r="K132" s="19">
        <f>IF(OR(J132="متأخرة",J132="اليوم"),'الإعدادات'!$B$4-E132,"")</f>
        <v/>
      </c>
      <c r="L132" s="19">
        <f>IF(OR(A132&amp;""="",NOT(ISNUMBER(F132))),"",'الإعدادات'!$B$4-F132)</f>
        <v/>
      </c>
      <c r="M132" s="19">
        <f>IF(OR(J132="متأخرة",J132="اليوم"),COUNTIFS($J$6:$J$505,"متأخرة",$E$6:$E$505,"&lt;"&amp;E132)+COUNTIFS($J$6:$J$505,"اليوم",$E$6:$E$505,"&lt;"&amp;E132)+COUNTIFS($E$6:E132,E132&amp;"",$J$6:J132,J132),"")</f>
        <v/>
      </c>
    </row>
    <row r="133">
      <c r="A133" s="5" t="n"/>
      <c r="B133" s="5" t="n"/>
      <c r="C133" s="5" t="n"/>
      <c r="D133" s="16" t="n"/>
      <c r="E133" s="13" t="n"/>
      <c r="F133" s="13" t="n"/>
      <c r="G133" s="5" t="n"/>
      <c r="H133" s="17">
        <f>IF(C133&amp;""="","",IFERROR(VLOOKUP(C133,'الإعدادات'!$A$8:$B$13,2,FALSE),""))</f>
        <v/>
      </c>
      <c r="I133" s="18">
        <f>IF(OR(H133="",NOT(ISNUMBER(D133))),"",ROUND(D133*H133,2))</f>
        <v/>
      </c>
      <c r="J133" s="6">
        <f>IF(A133&amp;""="","",IF(OR(C133="تم",C133="خسارة"),"مغلقة",IF(NOT(ISNUMBER(E133)),"بلا موعد",IF(E133&lt;'الإعدادات'!$B$4,"متأخرة",IF(E133='الإعدادات'!$B$4,"اليوم","قادمة")))))</f>
        <v/>
      </c>
      <c r="K133" s="19">
        <f>IF(OR(J133="متأخرة",J133="اليوم"),'الإعدادات'!$B$4-E133,"")</f>
        <v/>
      </c>
      <c r="L133" s="19">
        <f>IF(OR(A133&amp;""="",NOT(ISNUMBER(F133))),"",'الإعدادات'!$B$4-F133)</f>
        <v/>
      </c>
      <c r="M133" s="19">
        <f>IF(OR(J133="متأخرة",J133="اليوم"),COUNTIFS($J$6:$J$505,"متأخرة",$E$6:$E$505,"&lt;"&amp;E133)+COUNTIFS($J$6:$J$505,"اليوم",$E$6:$E$505,"&lt;"&amp;E133)+COUNTIFS($E$6:E133,E133&amp;"",$J$6:J133,J133),"")</f>
        <v/>
      </c>
    </row>
    <row r="134">
      <c r="A134" s="5" t="n"/>
      <c r="B134" s="5" t="n"/>
      <c r="C134" s="5" t="n"/>
      <c r="D134" s="16" t="n"/>
      <c r="E134" s="13" t="n"/>
      <c r="F134" s="13" t="n"/>
      <c r="G134" s="5" t="n"/>
      <c r="H134" s="17">
        <f>IF(C134&amp;""="","",IFERROR(VLOOKUP(C134,'الإعدادات'!$A$8:$B$13,2,FALSE),""))</f>
        <v/>
      </c>
      <c r="I134" s="18">
        <f>IF(OR(H134="",NOT(ISNUMBER(D134))),"",ROUND(D134*H134,2))</f>
        <v/>
      </c>
      <c r="J134" s="6">
        <f>IF(A134&amp;""="","",IF(OR(C134="تم",C134="خسارة"),"مغلقة",IF(NOT(ISNUMBER(E134)),"بلا موعد",IF(E134&lt;'الإعدادات'!$B$4,"متأخرة",IF(E134='الإعدادات'!$B$4,"اليوم","قادمة")))))</f>
        <v/>
      </c>
      <c r="K134" s="19">
        <f>IF(OR(J134="متأخرة",J134="اليوم"),'الإعدادات'!$B$4-E134,"")</f>
        <v/>
      </c>
      <c r="L134" s="19">
        <f>IF(OR(A134&amp;""="",NOT(ISNUMBER(F134))),"",'الإعدادات'!$B$4-F134)</f>
        <v/>
      </c>
      <c r="M134" s="19">
        <f>IF(OR(J134="متأخرة",J134="اليوم"),COUNTIFS($J$6:$J$505,"متأخرة",$E$6:$E$505,"&lt;"&amp;E134)+COUNTIFS($J$6:$J$505,"اليوم",$E$6:$E$505,"&lt;"&amp;E134)+COUNTIFS($E$6:E134,E134&amp;"",$J$6:J134,J134),"")</f>
        <v/>
      </c>
    </row>
    <row r="135">
      <c r="A135" s="5" t="n"/>
      <c r="B135" s="5" t="n"/>
      <c r="C135" s="5" t="n"/>
      <c r="D135" s="16" t="n"/>
      <c r="E135" s="13" t="n"/>
      <c r="F135" s="13" t="n"/>
      <c r="G135" s="5" t="n"/>
      <c r="H135" s="17">
        <f>IF(C135&amp;""="","",IFERROR(VLOOKUP(C135,'الإعدادات'!$A$8:$B$13,2,FALSE),""))</f>
        <v/>
      </c>
      <c r="I135" s="18">
        <f>IF(OR(H135="",NOT(ISNUMBER(D135))),"",ROUND(D135*H135,2))</f>
        <v/>
      </c>
      <c r="J135" s="6">
        <f>IF(A135&amp;""="","",IF(OR(C135="تم",C135="خسارة"),"مغلقة",IF(NOT(ISNUMBER(E135)),"بلا موعد",IF(E135&lt;'الإعدادات'!$B$4,"متأخرة",IF(E135='الإعدادات'!$B$4,"اليوم","قادمة")))))</f>
        <v/>
      </c>
      <c r="K135" s="19">
        <f>IF(OR(J135="متأخرة",J135="اليوم"),'الإعدادات'!$B$4-E135,"")</f>
        <v/>
      </c>
      <c r="L135" s="19">
        <f>IF(OR(A135&amp;""="",NOT(ISNUMBER(F135))),"",'الإعدادات'!$B$4-F135)</f>
        <v/>
      </c>
      <c r="M135" s="19">
        <f>IF(OR(J135="متأخرة",J135="اليوم"),COUNTIFS($J$6:$J$505,"متأخرة",$E$6:$E$505,"&lt;"&amp;E135)+COUNTIFS($J$6:$J$505,"اليوم",$E$6:$E$505,"&lt;"&amp;E135)+COUNTIFS($E$6:E135,E135&amp;"",$J$6:J135,J135),"")</f>
        <v/>
      </c>
    </row>
    <row r="136">
      <c r="A136" s="5" t="n"/>
      <c r="B136" s="5" t="n"/>
      <c r="C136" s="5" t="n"/>
      <c r="D136" s="16" t="n"/>
      <c r="E136" s="13" t="n"/>
      <c r="F136" s="13" t="n"/>
      <c r="G136" s="5" t="n"/>
      <c r="H136" s="17">
        <f>IF(C136&amp;""="","",IFERROR(VLOOKUP(C136,'الإعدادات'!$A$8:$B$13,2,FALSE),""))</f>
        <v/>
      </c>
      <c r="I136" s="18">
        <f>IF(OR(H136="",NOT(ISNUMBER(D136))),"",ROUND(D136*H136,2))</f>
        <v/>
      </c>
      <c r="J136" s="6">
        <f>IF(A136&amp;""="","",IF(OR(C136="تم",C136="خسارة"),"مغلقة",IF(NOT(ISNUMBER(E136)),"بلا موعد",IF(E136&lt;'الإعدادات'!$B$4,"متأخرة",IF(E136='الإعدادات'!$B$4,"اليوم","قادمة")))))</f>
        <v/>
      </c>
      <c r="K136" s="19">
        <f>IF(OR(J136="متأخرة",J136="اليوم"),'الإعدادات'!$B$4-E136,"")</f>
        <v/>
      </c>
      <c r="L136" s="19">
        <f>IF(OR(A136&amp;""="",NOT(ISNUMBER(F136))),"",'الإعدادات'!$B$4-F136)</f>
        <v/>
      </c>
      <c r="M136" s="19">
        <f>IF(OR(J136="متأخرة",J136="اليوم"),COUNTIFS($J$6:$J$505,"متأخرة",$E$6:$E$505,"&lt;"&amp;E136)+COUNTIFS($J$6:$J$505,"اليوم",$E$6:$E$505,"&lt;"&amp;E136)+COUNTIFS($E$6:E136,E136&amp;"",$J$6:J136,J136),"")</f>
        <v/>
      </c>
    </row>
    <row r="137">
      <c r="A137" s="5" t="n"/>
      <c r="B137" s="5" t="n"/>
      <c r="C137" s="5" t="n"/>
      <c r="D137" s="16" t="n"/>
      <c r="E137" s="13" t="n"/>
      <c r="F137" s="13" t="n"/>
      <c r="G137" s="5" t="n"/>
      <c r="H137" s="17">
        <f>IF(C137&amp;""="","",IFERROR(VLOOKUP(C137,'الإعدادات'!$A$8:$B$13,2,FALSE),""))</f>
        <v/>
      </c>
      <c r="I137" s="18">
        <f>IF(OR(H137="",NOT(ISNUMBER(D137))),"",ROUND(D137*H137,2))</f>
        <v/>
      </c>
      <c r="J137" s="6">
        <f>IF(A137&amp;""="","",IF(OR(C137="تم",C137="خسارة"),"مغلقة",IF(NOT(ISNUMBER(E137)),"بلا موعد",IF(E137&lt;'الإعدادات'!$B$4,"متأخرة",IF(E137='الإعدادات'!$B$4,"اليوم","قادمة")))))</f>
        <v/>
      </c>
      <c r="K137" s="19">
        <f>IF(OR(J137="متأخرة",J137="اليوم"),'الإعدادات'!$B$4-E137,"")</f>
        <v/>
      </c>
      <c r="L137" s="19">
        <f>IF(OR(A137&amp;""="",NOT(ISNUMBER(F137))),"",'الإعدادات'!$B$4-F137)</f>
        <v/>
      </c>
      <c r="M137" s="19">
        <f>IF(OR(J137="متأخرة",J137="اليوم"),COUNTIFS($J$6:$J$505,"متأخرة",$E$6:$E$505,"&lt;"&amp;E137)+COUNTIFS($J$6:$J$505,"اليوم",$E$6:$E$505,"&lt;"&amp;E137)+COUNTIFS($E$6:E137,E137&amp;"",$J$6:J137,J137),"")</f>
        <v/>
      </c>
    </row>
    <row r="138">
      <c r="A138" s="5" t="n"/>
      <c r="B138" s="5" t="n"/>
      <c r="C138" s="5" t="n"/>
      <c r="D138" s="16" t="n"/>
      <c r="E138" s="13" t="n"/>
      <c r="F138" s="13" t="n"/>
      <c r="G138" s="5" t="n"/>
      <c r="H138" s="17">
        <f>IF(C138&amp;""="","",IFERROR(VLOOKUP(C138,'الإعدادات'!$A$8:$B$13,2,FALSE),""))</f>
        <v/>
      </c>
      <c r="I138" s="18">
        <f>IF(OR(H138="",NOT(ISNUMBER(D138))),"",ROUND(D138*H138,2))</f>
        <v/>
      </c>
      <c r="J138" s="6">
        <f>IF(A138&amp;""="","",IF(OR(C138="تم",C138="خسارة"),"مغلقة",IF(NOT(ISNUMBER(E138)),"بلا موعد",IF(E138&lt;'الإعدادات'!$B$4,"متأخرة",IF(E138='الإعدادات'!$B$4,"اليوم","قادمة")))))</f>
        <v/>
      </c>
      <c r="K138" s="19">
        <f>IF(OR(J138="متأخرة",J138="اليوم"),'الإعدادات'!$B$4-E138,"")</f>
        <v/>
      </c>
      <c r="L138" s="19">
        <f>IF(OR(A138&amp;""="",NOT(ISNUMBER(F138))),"",'الإعدادات'!$B$4-F138)</f>
        <v/>
      </c>
      <c r="M138" s="19">
        <f>IF(OR(J138="متأخرة",J138="اليوم"),COUNTIFS($J$6:$J$505,"متأخرة",$E$6:$E$505,"&lt;"&amp;E138)+COUNTIFS($J$6:$J$505,"اليوم",$E$6:$E$505,"&lt;"&amp;E138)+COUNTIFS($E$6:E138,E138&amp;"",$J$6:J138,J138),"")</f>
        <v/>
      </c>
    </row>
    <row r="139">
      <c r="A139" s="5" t="n"/>
      <c r="B139" s="5" t="n"/>
      <c r="C139" s="5" t="n"/>
      <c r="D139" s="16" t="n"/>
      <c r="E139" s="13" t="n"/>
      <c r="F139" s="13" t="n"/>
      <c r="G139" s="5" t="n"/>
      <c r="H139" s="17">
        <f>IF(C139&amp;""="","",IFERROR(VLOOKUP(C139,'الإعدادات'!$A$8:$B$13,2,FALSE),""))</f>
        <v/>
      </c>
      <c r="I139" s="18">
        <f>IF(OR(H139="",NOT(ISNUMBER(D139))),"",ROUND(D139*H139,2))</f>
        <v/>
      </c>
      <c r="J139" s="6">
        <f>IF(A139&amp;""="","",IF(OR(C139="تم",C139="خسارة"),"مغلقة",IF(NOT(ISNUMBER(E139)),"بلا موعد",IF(E139&lt;'الإعدادات'!$B$4,"متأخرة",IF(E139='الإعدادات'!$B$4,"اليوم","قادمة")))))</f>
        <v/>
      </c>
      <c r="K139" s="19">
        <f>IF(OR(J139="متأخرة",J139="اليوم"),'الإعدادات'!$B$4-E139,"")</f>
        <v/>
      </c>
      <c r="L139" s="19">
        <f>IF(OR(A139&amp;""="",NOT(ISNUMBER(F139))),"",'الإعدادات'!$B$4-F139)</f>
        <v/>
      </c>
      <c r="M139" s="19">
        <f>IF(OR(J139="متأخرة",J139="اليوم"),COUNTIFS($J$6:$J$505,"متأخرة",$E$6:$E$505,"&lt;"&amp;E139)+COUNTIFS($J$6:$J$505,"اليوم",$E$6:$E$505,"&lt;"&amp;E139)+COUNTIFS($E$6:E139,E139&amp;"",$J$6:J139,J139),"")</f>
        <v/>
      </c>
    </row>
    <row r="140">
      <c r="A140" s="5" t="n"/>
      <c r="B140" s="5" t="n"/>
      <c r="C140" s="5" t="n"/>
      <c r="D140" s="16" t="n"/>
      <c r="E140" s="13" t="n"/>
      <c r="F140" s="13" t="n"/>
      <c r="G140" s="5" t="n"/>
      <c r="H140" s="17">
        <f>IF(C140&amp;""="","",IFERROR(VLOOKUP(C140,'الإعدادات'!$A$8:$B$13,2,FALSE),""))</f>
        <v/>
      </c>
      <c r="I140" s="18">
        <f>IF(OR(H140="",NOT(ISNUMBER(D140))),"",ROUND(D140*H140,2))</f>
        <v/>
      </c>
      <c r="J140" s="6">
        <f>IF(A140&amp;""="","",IF(OR(C140="تم",C140="خسارة"),"مغلقة",IF(NOT(ISNUMBER(E140)),"بلا موعد",IF(E140&lt;'الإعدادات'!$B$4,"متأخرة",IF(E140='الإعدادات'!$B$4,"اليوم","قادمة")))))</f>
        <v/>
      </c>
      <c r="K140" s="19">
        <f>IF(OR(J140="متأخرة",J140="اليوم"),'الإعدادات'!$B$4-E140,"")</f>
        <v/>
      </c>
      <c r="L140" s="19">
        <f>IF(OR(A140&amp;""="",NOT(ISNUMBER(F140))),"",'الإعدادات'!$B$4-F140)</f>
        <v/>
      </c>
      <c r="M140" s="19">
        <f>IF(OR(J140="متأخرة",J140="اليوم"),COUNTIFS($J$6:$J$505,"متأخرة",$E$6:$E$505,"&lt;"&amp;E140)+COUNTIFS($J$6:$J$505,"اليوم",$E$6:$E$505,"&lt;"&amp;E140)+COUNTIFS($E$6:E140,E140&amp;"",$J$6:J140,J140),"")</f>
        <v/>
      </c>
    </row>
    <row r="141">
      <c r="A141" s="5" t="n"/>
      <c r="B141" s="5" t="n"/>
      <c r="C141" s="5" t="n"/>
      <c r="D141" s="16" t="n"/>
      <c r="E141" s="13" t="n"/>
      <c r="F141" s="13" t="n"/>
      <c r="G141" s="5" t="n"/>
      <c r="H141" s="17">
        <f>IF(C141&amp;""="","",IFERROR(VLOOKUP(C141,'الإعدادات'!$A$8:$B$13,2,FALSE),""))</f>
        <v/>
      </c>
      <c r="I141" s="18">
        <f>IF(OR(H141="",NOT(ISNUMBER(D141))),"",ROUND(D141*H141,2))</f>
        <v/>
      </c>
      <c r="J141" s="6">
        <f>IF(A141&amp;""="","",IF(OR(C141="تم",C141="خسارة"),"مغلقة",IF(NOT(ISNUMBER(E141)),"بلا موعد",IF(E141&lt;'الإعدادات'!$B$4,"متأخرة",IF(E141='الإعدادات'!$B$4,"اليوم","قادمة")))))</f>
        <v/>
      </c>
      <c r="K141" s="19">
        <f>IF(OR(J141="متأخرة",J141="اليوم"),'الإعدادات'!$B$4-E141,"")</f>
        <v/>
      </c>
      <c r="L141" s="19">
        <f>IF(OR(A141&amp;""="",NOT(ISNUMBER(F141))),"",'الإعدادات'!$B$4-F141)</f>
        <v/>
      </c>
      <c r="M141" s="19">
        <f>IF(OR(J141="متأخرة",J141="اليوم"),COUNTIFS($J$6:$J$505,"متأخرة",$E$6:$E$505,"&lt;"&amp;E141)+COUNTIFS($J$6:$J$505,"اليوم",$E$6:$E$505,"&lt;"&amp;E141)+COUNTIFS($E$6:E141,E141&amp;"",$J$6:J141,J141),"")</f>
        <v/>
      </c>
    </row>
    <row r="142">
      <c r="A142" s="5" t="n"/>
      <c r="B142" s="5" t="n"/>
      <c r="C142" s="5" t="n"/>
      <c r="D142" s="16" t="n"/>
      <c r="E142" s="13" t="n"/>
      <c r="F142" s="13" t="n"/>
      <c r="G142" s="5" t="n"/>
      <c r="H142" s="17">
        <f>IF(C142&amp;""="","",IFERROR(VLOOKUP(C142,'الإعدادات'!$A$8:$B$13,2,FALSE),""))</f>
        <v/>
      </c>
      <c r="I142" s="18">
        <f>IF(OR(H142="",NOT(ISNUMBER(D142))),"",ROUND(D142*H142,2))</f>
        <v/>
      </c>
      <c r="J142" s="6">
        <f>IF(A142&amp;""="","",IF(OR(C142="تم",C142="خسارة"),"مغلقة",IF(NOT(ISNUMBER(E142)),"بلا موعد",IF(E142&lt;'الإعدادات'!$B$4,"متأخرة",IF(E142='الإعدادات'!$B$4,"اليوم","قادمة")))))</f>
        <v/>
      </c>
      <c r="K142" s="19">
        <f>IF(OR(J142="متأخرة",J142="اليوم"),'الإعدادات'!$B$4-E142,"")</f>
        <v/>
      </c>
      <c r="L142" s="19">
        <f>IF(OR(A142&amp;""="",NOT(ISNUMBER(F142))),"",'الإعدادات'!$B$4-F142)</f>
        <v/>
      </c>
      <c r="M142" s="19">
        <f>IF(OR(J142="متأخرة",J142="اليوم"),COUNTIFS($J$6:$J$505,"متأخرة",$E$6:$E$505,"&lt;"&amp;E142)+COUNTIFS($J$6:$J$505,"اليوم",$E$6:$E$505,"&lt;"&amp;E142)+COUNTIFS($E$6:E142,E142&amp;"",$J$6:J142,J142),"")</f>
        <v/>
      </c>
    </row>
    <row r="143">
      <c r="A143" s="5" t="n"/>
      <c r="B143" s="5" t="n"/>
      <c r="C143" s="5" t="n"/>
      <c r="D143" s="16" t="n"/>
      <c r="E143" s="13" t="n"/>
      <c r="F143" s="13" t="n"/>
      <c r="G143" s="5" t="n"/>
      <c r="H143" s="17">
        <f>IF(C143&amp;""="","",IFERROR(VLOOKUP(C143,'الإعدادات'!$A$8:$B$13,2,FALSE),""))</f>
        <v/>
      </c>
      <c r="I143" s="18">
        <f>IF(OR(H143="",NOT(ISNUMBER(D143))),"",ROUND(D143*H143,2))</f>
        <v/>
      </c>
      <c r="J143" s="6">
        <f>IF(A143&amp;""="","",IF(OR(C143="تم",C143="خسارة"),"مغلقة",IF(NOT(ISNUMBER(E143)),"بلا موعد",IF(E143&lt;'الإعدادات'!$B$4,"متأخرة",IF(E143='الإعدادات'!$B$4,"اليوم","قادمة")))))</f>
        <v/>
      </c>
      <c r="K143" s="19">
        <f>IF(OR(J143="متأخرة",J143="اليوم"),'الإعدادات'!$B$4-E143,"")</f>
        <v/>
      </c>
      <c r="L143" s="19">
        <f>IF(OR(A143&amp;""="",NOT(ISNUMBER(F143))),"",'الإعدادات'!$B$4-F143)</f>
        <v/>
      </c>
      <c r="M143" s="19">
        <f>IF(OR(J143="متأخرة",J143="اليوم"),COUNTIFS($J$6:$J$505,"متأخرة",$E$6:$E$505,"&lt;"&amp;E143)+COUNTIFS($J$6:$J$505,"اليوم",$E$6:$E$505,"&lt;"&amp;E143)+COUNTIFS($E$6:E143,E143&amp;"",$J$6:J143,J143),"")</f>
        <v/>
      </c>
    </row>
    <row r="144">
      <c r="A144" s="5" t="n"/>
      <c r="B144" s="5" t="n"/>
      <c r="C144" s="5" t="n"/>
      <c r="D144" s="16" t="n"/>
      <c r="E144" s="13" t="n"/>
      <c r="F144" s="13" t="n"/>
      <c r="G144" s="5" t="n"/>
      <c r="H144" s="17">
        <f>IF(C144&amp;""="","",IFERROR(VLOOKUP(C144,'الإعدادات'!$A$8:$B$13,2,FALSE),""))</f>
        <v/>
      </c>
      <c r="I144" s="18">
        <f>IF(OR(H144="",NOT(ISNUMBER(D144))),"",ROUND(D144*H144,2))</f>
        <v/>
      </c>
      <c r="J144" s="6">
        <f>IF(A144&amp;""="","",IF(OR(C144="تم",C144="خسارة"),"مغلقة",IF(NOT(ISNUMBER(E144)),"بلا موعد",IF(E144&lt;'الإعدادات'!$B$4,"متأخرة",IF(E144='الإعدادات'!$B$4,"اليوم","قادمة")))))</f>
        <v/>
      </c>
      <c r="K144" s="19">
        <f>IF(OR(J144="متأخرة",J144="اليوم"),'الإعدادات'!$B$4-E144,"")</f>
        <v/>
      </c>
      <c r="L144" s="19">
        <f>IF(OR(A144&amp;""="",NOT(ISNUMBER(F144))),"",'الإعدادات'!$B$4-F144)</f>
        <v/>
      </c>
      <c r="M144" s="19">
        <f>IF(OR(J144="متأخرة",J144="اليوم"),COUNTIFS($J$6:$J$505,"متأخرة",$E$6:$E$505,"&lt;"&amp;E144)+COUNTIFS($J$6:$J$505,"اليوم",$E$6:$E$505,"&lt;"&amp;E144)+COUNTIFS($E$6:E144,E144&amp;"",$J$6:J144,J144),"")</f>
        <v/>
      </c>
    </row>
    <row r="145">
      <c r="A145" s="5" t="n"/>
      <c r="B145" s="5" t="n"/>
      <c r="C145" s="5" t="n"/>
      <c r="D145" s="16" t="n"/>
      <c r="E145" s="13" t="n"/>
      <c r="F145" s="13" t="n"/>
      <c r="G145" s="5" t="n"/>
      <c r="H145" s="17">
        <f>IF(C145&amp;""="","",IFERROR(VLOOKUP(C145,'الإعدادات'!$A$8:$B$13,2,FALSE),""))</f>
        <v/>
      </c>
      <c r="I145" s="18">
        <f>IF(OR(H145="",NOT(ISNUMBER(D145))),"",ROUND(D145*H145,2))</f>
        <v/>
      </c>
      <c r="J145" s="6">
        <f>IF(A145&amp;""="","",IF(OR(C145="تم",C145="خسارة"),"مغلقة",IF(NOT(ISNUMBER(E145)),"بلا موعد",IF(E145&lt;'الإعدادات'!$B$4,"متأخرة",IF(E145='الإعدادات'!$B$4,"اليوم","قادمة")))))</f>
        <v/>
      </c>
      <c r="K145" s="19">
        <f>IF(OR(J145="متأخرة",J145="اليوم"),'الإعدادات'!$B$4-E145,"")</f>
        <v/>
      </c>
      <c r="L145" s="19">
        <f>IF(OR(A145&amp;""="",NOT(ISNUMBER(F145))),"",'الإعدادات'!$B$4-F145)</f>
        <v/>
      </c>
      <c r="M145" s="19">
        <f>IF(OR(J145="متأخرة",J145="اليوم"),COUNTIFS($J$6:$J$505,"متأخرة",$E$6:$E$505,"&lt;"&amp;E145)+COUNTIFS($J$6:$J$505,"اليوم",$E$6:$E$505,"&lt;"&amp;E145)+COUNTIFS($E$6:E145,E145&amp;"",$J$6:J145,J145),"")</f>
        <v/>
      </c>
    </row>
    <row r="146">
      <c r="A146" s="5" t="n"/>
      <c r="B146" s="5" t="n"/>
      <c r="C146" s="5" t="n"/>
      <c r="D146" s="16" t="n"/>
      <c r="E146" s="13" t="n"/>
      <c r="F146" s="13" t="n"/>
      <c r="G146" s="5" t="n"/>
      <c r="H146" s="17">
        <f>IF(C146&amp;""="","",IFERROR(VLOOKUP(C146,'الإعدادات'!$A$8:$B$13,2,FALSE),""))</f>
        <v/>
      </c>
      <c r="I146" s="18">
        <f>IF(OR(H146="",NOT(ISNUMBER(D146))),"",ROUND(D146*H146,2))</f>
        <v/>
      </c>
      <c r="J146" s="6">
        <f>IF(A146&amp;""="","",IF(OR(C146="تم",C146="خسارة"),"مغلقة",IF(NOT(ISNUMBER(E146)),"بلا موعد",IF(E146&lt;'الإعدادات'!$B$4,"متأخرة",IF(E146='الإعدادات'!$B$4,"اليوم","قادمة")))))</f>
        <v/>
      </c>
      <c r="K146" s="19">
        <f>IF(OR(J146="متأخرة",J146="اليوم"),'الإعدادات'!$B$4-E146,"")</f>
        <v/>
      </c>
      <c r="L146" s="19">
        <f>IF(OR(A146&amp;""="",NOT(ISNUMBER(F146))),"",'الإعدادات'!$B$4-F146)</f>
        <v/>
      </c>
      <c r="M146" s="19">
        <f>IF(OR(J146="متأخرة",J146="اليوم"),COUNTIFS($J$6:$J$505,"متأخرة",$E$6:$E$505,"&lt;"&amp;E146)+COUNTIFS($J$6:$J$505,"اليوم",$E$6:$E$505,"&lt;"&amp;E146)+COUNTIFS($E$6:E146,E146&amp;"",$J$6:J146,J146),"")</f>
        <v/>
      </c>
    </row>
    <row r="147">
      <c r="A147" s="5" t="n"/>
      <c r="B147" s="5" t="n"/>
      <c r="C147" s="5" t="n"/>
      <c r="D147" s="16" t="n"/>
      <c r="E147" s="13" t="n"/>
      <c r="F147" s="13" t="n"/>
      <c r="G147" s="5" t="n"/>
      <c r="H147" s="17">
        <f>IF(C147&amp;""="","",IFERROR(VLOOKUP(C147,'الإعدادات'!$A$8:$B$13,2,FALSE),""))</f>
        <v/>
      </c>
      <c r="I147" s="18">
        <f>IF(OR(H147="",NOT(ISNUMBER(D147))),"",ROUND(D147*H147,2))</f>
        <v/>
      </c>
      <c r="J147" s="6">
        <f>IF(A147&amp;""="","",IF(OR(C147="تم",C147="خسارة"),"مغلقة",IF(NOT(ISNUMBER(E147)),"بلا موعد",IF(E147&lt;'الإعدادات'!$B$4,"متأخرة",IF(E147='الإعدادات'!$B$4,"اليوم","قادمة")))))</f>
        <v/>
      </c>
      <c r="K147" s="19">
        <f>IF(OR(J147="متأخرة",J147="اليوم"),'الإعدادات'!$B$4-E147,"")</f>
        <v/>
      </c>
      <c r="L147" s="19">
        <f>IF(OR(A147&amp;""="",NOT(ISNUMBER(F147))),"",'الإعدادات'!$B$4-F147)</f>
        <v/>
      </c>
      <c r="M147" s="19">
        <f>IF(OR(J147="متأخرة",J147="اليوم"),COUNTIFS($J$6:$J$505,"متأخرة",$E$6:$E$505,"&lt;"&amp;E147)+COUNTIFS($J$6:$J$505,"اليوم",$E$6:$E$505,"&lt;"&amp;E147)+COUNTIFS($E$6:E147,E147&amp;"",$J$6:J147,J147),"")</f>
        <v/>
      </c>
    </row>
    <row r="148">
      <c r="A148" s="5" t="n"/>
      <c r="B148" s="5" t="n"/>
      <c r="C148" s="5" t="n"/>
      <c r="D148" s="16" t="n"/>
      <c r="E148" s="13" t="n"/>
      <c r="F148" s="13" t="n"/>
      <c r="G148" s="5" t="n"/>
      <c r="H148" s="17">
        <f>IF(C148&amp;""="","",IFERROR(VLOOKUP(C148,'الإعدادات'!$A$8:$B$13,2,FALSE),""))</f>
        <v/>
      </c>
      <c r="I148" s="18">
        <f>IF(OR(H148="",NOT(ISNUMBER(D148))),"",ROUND(D148*H148,2))</f>
        <v/>
      </c>
      <c r="J148" s="6">
        <f>IF(A148&amp;""="","",IF(OR(C148="تم",C148="خسارة"),"مغلقة",IF(NOT(ISNUMBER(E148)),"بلا موعد",IF(E148&lt;'الإعدادات'!$B$4,"متأخرة",IF(E148='الإعدادات'!$B$4,"اليوم","قادمة")))))</f>
        <v/>
      </c>
      <c r="K148" s="19">
        <f>IF(OR(J148="متأخرة",J148="اليوم"),'الإعدادات'!$B$4-E148,"")</f>
        <v/>
      </c>
      <c r="L148" s="19">
        <f>IF(OR(A148&amp;""="",NOT(ISNUMBER(F148))),"",'الإعدادات'!$B$4-F148)</f>
        <v/>
      </c>
      <c r="M148" s="19">
        <f>IF(OR(J148="متأخرة",J148="اليوم"),COUNTIFS($J$6:$J$505,"متأخرة",$E$6:$E$505,"&lt;"&amp;E148)+COUNTIFS($J$6:$J$505,"اليوم",$E$6:$E$505,"&lt;"&amp;E148)+COUNTIFS($E$6:E148,E148&amp;"",$J$6:J148,J148),"")</f>
        <v/>
      </c>
    </row>
    <row r="149">
      <c r="A149" s="5" t="n"/>
      <c r="B149" s="5" t="n"/>
      <c r="C149" s="5" t="n"/>
      <c r="D149" s="16" t="n"/>
      <c r="E149" s="13" t="n"/>
      <c r="F149" s="13" t="n"/>
      <c r="G149" s="5" t="n"/>
      <c r="H149" s="17">
        <f>IF(C149&amp;""="","",IFERROR(VLOOKUP(C149,'الإعدادات'!$A$8:$B$13,2,FALSE),""))</f>
        <v/>
      </c>
      <c r="I149" s="18">
        <f>IF(OR(H149="",NOT(ISNUMBER(D149))),"",ROUND(D149*H149,2))</f>
        <v/>
      </c>
      <c r="J149" s="6">
        <f>IF(A149&amp;""="","",IF(OR(C149="تم",C149="خسارة"),"مغلقة",IF(NOT(ISNUMBER(E149)),"بلا موعد",IF(E149&lt;'الإعدادات'!$B$4,"متأخرة",IF(E149='الإعدادات'!$B$4,"اليوم","قادمة")))))</f>
        <v/>
      </c>
      <c r="K149" s="19">
        <f>IF(OR(J149="متأخرة",J149="اليوم"),'الإعدادات'!$B$4-E149,"")</f>
        <v/>
      </c>
      <c r="L149" s="19">
        <f>IF(OR(A149&amp;""="",NOT(ISNUMBER(F149))),"",'الإعدادات'!$B$4-F149)</f>
        <v/>
      </c>
      <c r="M149" s="19">
        <f>IF(OR(J149="متأخرة",J149="اليوم"),COUNTIFS($J$6:$J$505,"متأخرة",$E$6:$E$505,"&lt;"&amp;E149)+COUNTIFS($J$6:$J$505,"اليوم",$E$6:$E$505,"&lt;"&amp;E149)+COUNTIFS($E$6:E149,E149&amp;"",$J$6:J149,J149),"")</f>
        <v/>
      </c>
    </row>
    <row r="150">
      <c r="A150" s="5" t="n"/>
      <c r="B150" s="5" t="n"/>
      <c r="C150" s="5" t="n"/>
      <c r="D150" s="16" t="n"/>
      <c r="E150" s="13" t="n"/>
      <c r="F150" s="13" t="n"/>
      <c r="G150" s="5" t="n"/>
      <c r="H150" s="17">
        <f>IF(C150&amp;""="","",IFERROR(VLOOKUP(C150,'الإعدادات'!$A$8:$B$13,2,FALSE),""))</f>
        <v/>
      </c>
      <c r="I150" s="18">
        <f>IF(OR(H150="",NOT(ISNUMBER(D150))),"",ROUND(D150*H150,2))</f>
        <v/>
      </c>
      <c r="J150" s="6">
        <f>IF(A150&amp;""="","",IF(OR(C150="تم",C150="خسارة"),"مغلقة",IF(NOT(ISNUMBER(E150)),"بلا موعد",IF(E150&lt;'الإعدادات'!$B$4,"متأخرة",IF(E150='الإعدادات'!$B$4,"اليوم","قادمة")))))</f>
        <v/>
      </c>
      <c r="K150" s="19">
        <f>IF(OR(J150="متأخرة",J150="اليوم"),'الإعدادات'!$B$4-E150,"")</f>
        <v/>
      </c>
      <c r="L150" s="19">
        <f>IF(OR(A150&amp;""="",NOT(ISNUMBER(F150))),"",'الإعدادات'!$B$4-F150)</f>
        <v/>
      </c>
      <c r="M150" s="19">
        <f>IF(OR(J150="متأخرة",J150="اليوم"),COUNTIFS($J$6:$J$505,"متأخرة",$E$6:$E$505,"&lt;"&amp;E150)+COUNTIFS($J$6:$J$505,"اليوم",$E$6:$E$505,"&lt;"&amp;E150)+COUNTIFS($E$6:E150,E150&amp;"",$J$6:J150,J150),"")</f>
        <v/>
      </c>
    </row>
    <row r="151">
      <c r="A151" s="5" t="n"/>
      <c r="B151" s="5" t="n"/>
      <c r="C151" s="5" t="n"/>
      <c r="D151" s="16" t="n"/>
      <c r="E151" s="13" t="n"/>
      <c r="F151" s="13" t="n"/>
      <c r="G151" s="5" t="n"/>
      <c r="H151" s="17">
        <f>IF(C151&amp;""="","",IFERROR(VLOOKUP(C151,'الإعدادات'!$A$8:$B$13,2,FALSE),""))</f>
        <v/>
      </c>
      <c r="I151" s="18">
        <f>IF(OR(H151="",NOT(ISNUMBER(D151))),"",ROUND(D151*H151,2))</f>
        <v/>
      </c>
      <c r="J151" s="6">
        <f>IF(A151&amp;""="","",IF(OR(C151="تم",C151="خسارة"),"مغلقة",IF(NOT(ISNUMBER(E151)),"بلا موعد",IF(E151&lt;'الإعدادات'!$B$4,"متأخرة",IF(E151='الإعدادات'!$B$4,"اليوم","قادمة")))))</f>
        <v/>
      </c>
      <c r="K151" s="19">
        <f>IF(OR(J151="متأخرة",J151="اليوم"),'الإعدادات'!$B$4-E151,"")</f>
        <v/>
      </c>
      <c r="L151" s="19">
        <f>IF(OR(A151&amp;""="",NOT(ISNUMBER(F151))),"",'الإعدادات'!$B$4-F151)</f>
        <v/>
      </c>
      <c r="M151" s="19">
        <f>IF(OR(J151="متأخرة",J151="اليوم"),COUNTIFS($J$6:$J$505,"متأخرة",$E$6:$E$505,"&lt;"&amp;E151)+COUNTIFS($J$6:$J$505,"اليوم",$E$6:$E$505,"&lt;"&amp;E151)+COUNTIFS($E$6:E151,E151&amp;"",$J$6:J151,J151),"")</f>
        <v/>
      </c>
    </row>
    <row r="152">
      <c r="A152" s="5" t="n"/>
      <c r="B152" s="5" t="n"/>
      <c r="C152" s="5" t="n"/>
      <c r="D152" s="16" t="n"/>
      <c r="E152" s="13" t="n"/>
      <c r="F152" s="13" t="n"/>
      <c r="G152" s="5" t="n"/>
      <c r="H152" s="17">
        <f>IF(C152&amp;""="","",IFERROR(VLOOKUP(C152,'الإعدادات'!$A$8:$B$13,2,FALSE),""))</f>
        <v/>
      </c>
      <c r="I152" s="18">
        <f>IF(OR(H152="",NOT(ISNUMBER(D152))),"",ROUND(D152*H152,2))</f>
        <v/>
      </c>
      <c r="J152" s="6">
        <f>IF(A152&amp;""="","",IF(OR(C152="تم",C152="خسارة"),"مغلقة",IF(NOT(ISNUMBER(E152)),"بلا موعد",IF(E152&lt;'الإعدادات'!$B$4,"متأخرة",IF(E152='الإعدادات'!$B$4,"اليوم","قادمة")))))</f>
        <v/>
      </c>
      <c r="K152" s="19">
        <f>IF(OR(J152="متأخرة",J152="اليوم"),'الإعدادات'!$B$4-E152,"")</f>
        <v/>
      </c>
      <c r="L152" s="19">
        <f>IF(OR(A152&amp;""="",NOT(ISNUMBER(F152))),"",'الإعدادات'!$B$4-F152)</f>
        <v/>
      </c>
      <c r="M152" s="19">
        <f>IF(OR(J152="متأخرة",J152="اليوم"),COUNTIFS($J$6:$J$505,"متأخرة",$E$6:$E$505,"&lt;"&amp;E152)+COUNTIFS($J$6:$J$505,"اليوم",$E$6:$E$505,"&lt;"&amp;E152)+COUNTIFS($E$6:E152,E152&amp;"",$J$6:J152,J152),"")</f>
        <v/>
      </c>
    </row>
    <row r="153">
      <c r="A153" s="5" t="n"/>
      <c r="B153" s="5" t="n"/>
      <c r="C153" s="5" t="n"/>
      <c r="D153" s="16" t="n"/>
      <c r="E153" s="13" t="n"/>
      <c r="F153" s="13" t="n"/>
      <c r="G153" s="5" t="n"/>
      <c r="H153" s="17">
        <f>IF(C153&amp;""="","",IFERROR(VLOOKUP(C153,'الإعدادات'!$A$8:$B$13,2,FALSE),""))</f>
        <v/>
      </c>
      <c r="I153" s="18">
        <f>IF(OR(H153="",NOT(ISNUMBER(D153))),"",ROUND(D153*H153,2))</f>
        <v/>
      </c>
      <c r="J153" s="6">
        <f>IF(A153&amp;""="","",IF(OR(C153="تم",C153="خسارة"),"مغلقة",IF(NOT(ISNUMBER(E153)),"بلا موعد",IF(E153&lt;'الإعدادات'!$B$4,"متأخرة",IF(E153='الإعدادات'!$B$4,"اليوم","قادمة")))))</f>
        <v/>
      </c>
      <c r="K153" s="19">
        <f>IF(OR(J153="متأخرة",J153="اليوم"),'الإعدادات'!$B$4-E153,"")</f>
        <v/>
      </c>
      <c r="L153" s="19">
        <f>IF(OR(A153&amp;""="",NOT(ISNUMBER(F153))),"",'الإعدادات'!$B$4-F153)</f>
        <v/>
      </c>
      <c r="M153" s="19">
        <f>IF(OR(J153="متأخرة",J153="اليوم"),COUNTIFS($J$6:$J$505,"متأخرة",$E$6:$E$505,"&lt;"&amp;E153)+COUNTIFS($J$6:$J$505,"اليوم",$E$6:$E$505,"&lt;"&amp;E153)+COUNTIFS($E$6:E153,E153&amp;"",$J$6:J153,J153),"")</f>
        <v/>
      </c>
    </row>
    <row r="154">
      <c r="A154" s="5" t="n"/>
      <c r="B154" s="5" t="n"/>
      <c r="C154" s="5" t="n"/>
      <c r="D154" s="16" t="n"/>
      <c r="E154" s="13" t="n"/>
      <c r="F154" s="13" t="n"/>
      <c r="G154" s="5" t="n"/>
      <c r="H154" s="17">
        <f>IF(C154&amp;""="","",IFERROR(VLOOKUP(C154,'الإعدادات'!$A$8:$B$13,2,FALSE),""))</f>
        <v/>
      </c>
      <c r="I154" s="18">
        <f>IF(OR(H154="",NOT(ISNUMBER(D154))),"",ROUND(D154*H154,2))</f>
        <v/>
      </c>
      <c r="J154" s="6">
        <f>IF(A154&amp;""="","",IF(OR(C154="تم",C154="خسارة"),"مغلقة",IF(NOT(ISNUMBER(E154)),"بلا موعد",IF(E154&lt;'الإعدادات'!$B$4,"متأخرة",IF(E154='الإعدادات'!$B$4,"اليوم","قادمة")))))</f>
        <v/>
      </c>
      <c r="K154" s="19">
        <f>IF(OR(J154="متأخرة",J154="اليوم"),'الإعدادات'!$B$4-E154,"")</f>
        <v/>
      </c>
      <c r="L154" s="19">
        <f>IF(OR(A154&amp;""="",NOT(ISNUMBER(F154))),"",'الإعدادات'!$B$4-F154)</f>
        <v/>
      </c>
      <c r="M154" s="19">
        <f>IF(OR(J154="متأخرة",J154="اليوم"),COUNTIFS($J$6:$J$505,"متأخرة",$E$6:$E$505,"&lt;"&amp;E154)+COUNTIFS($J$6:$J$505,"اليوم",$E$6:$E$505,"&lt;"&amp;E154)+COUNTIFS($E$6:E154,E154&amp;"",$J$6:J154,J154),"")</f>
        <v/>
      </c>
    </row>
    <row r="155">
      <c r="A155" s="5" t="n"/>
      <c r="B155" s="5" t="n"/>
      <c r="C155" s="5" t="n"/>
      <c r="D155" s="16" t="n"/>
      <c r="E155" s="13" t="n"/>
      <c r="F155" s="13" t="n"/>
      <c r="G155" s="5" t="n"/>
      <c r="H155" s="17">
        <f>IF(C155&amp;""="","",IFERROR(VLOOKUP(C155,'الإعدادات'!$A$8:$B$13,2,FALSE),""))</f>
        <v/>
      </c>
      <c r="I155" s="18">
        <f>IF(OR(H155="",NOT(ISNUMBER(D155))),"",ROUND(D155*H155,2))</f>
        <v/>
      </c>
      <c r="J155" s="6">
        <f>IF(A155&amp;""="","",IF(OR(C155="تم",C155="خسارة"),"مغلقة",IF(NOT(ISNUMBER(E155)),"بلا موعد",IF(E155&lt;'الإعدادات'!$B$4,"متأخرة",IF(E155='الإعدادات'!$B$4,"اليوم","قادمة")))))</f>
        <v/>
      </c>
      <c r="K155" s="19">
        <f>IF(OR(J155="متأخرة",J155="اليوم"),'الإعدادات'!$B$4-E155,"")</f>
        <v/>
      </c>
      <c r="L155" s="19">
        <f>IF(OR(A155&amp;""="",NOT(ISNUMBER(F155))),"",'الإعدادات'!$B$4-F155)</f>
        <v/>
      </c>
      <c r="M155" s="19">
        <f>IF(OR(J155="متأخرة",J155="اليوم"),COUNTIFS($J$6:$J$505,"متأخرة",$E$6:$E$505,"&lt;"&amp;E155)+COUNTIFS($J$6:$J$505,"اليوم",$E$6:$E$505,"&lt;"&amp;E155)+COUNTIFS($E$6:E155,E155&amp;"",$J$6:J155,J155),"")</f>
        <v/>
      </c>
    </row>
    <row r="156">
      <c r="A156" s="5" t="n"/>
      <c r="B156" s="5" t="n"/>
      <c r="C156" s="5" t="n"/>
      <c r="D156" s="16" t="n"/>
      <c r="E156" s="13" t="n"/>
      <c r="F156" s="13" t="n"/>
      <c r="G156" s="5" t="n"/>
      <c r="H156" s="17">
        <f>IF(C156&amp;""="","",IFERROR(VLOOKUP(C156,'الإعدادات'!$A$8:$B$13,2,FALSE),""))</f>
        <v/>
      </c>
      <c r="I156" s="18">
        <f>IF(OR(H156="",NOT(ISNUMBER(D156))),"",ROUND(D156*H156,2))</f>
        <v/>
      </c>
      <c r="J156" s="6">
        <f>IF(A156&amp;""="","",IF(OR(C156="تم",C156="خسارة"),"مغلقة",IF(NOT(ISNUMBER(E156)),"بلا موعد",IF(E156&lt;'الإعدادات'!$B$4,"متأخرة",IF(E156='الإعدادات'!$B$4,"اليوم","قادمة")))))</f>
        <v/>
      </c>
      <c r="K156" s="19">
        <f>IF(OR(J156="متأخرة",J156="اليوم"),'الإعدادات'!$B$4-E156,"")</f>
        <v/>
      </c>
      <c r="L156" s="19">
        <f>IF(OR(A156&amp;""="",NOT(ISNUMBER(F156))),"",'الإعدادات'!$B$4-F156)</f>
        <v/>
      </c>
      <c r="M156" s="19">
        <f>IF(OR(J156="متأخرة",J156="اليوم"),COUNTIFS($J$6:$J$505,"متأخرة",$E$6:$E$505,"&lt;"&amp;E156)+COUNTIFS($J$6:$J$505,"اليوم",$E$6:$E$505,"&lt;"&amp;E156)+COUNTIFS($E$6:E156,E156&amp;"",$J$6:J156,J156),"")</f>
        <v/>
      </c>
    </row>
    <row r="157">
      <c r="A157" s="5" t="n"/>
      <c r="B157" s="5" t="n"/>
      <c r="C157" s="5" t="n"/>
      <c r="D157" s="16" t="n"/>
      <c r="E157" s="13" t="n"/>
      <c r="F157" s="13" t="n"/>
      <c r="G157" s="5" t="n"/>
      <c r="H157" s="17">
        <f>IF(C157&amp;""="","",IFERROR(VLOOKUP(C157,'الإعدادات'!$A$8:$B$13,2,FALSE),""))</f>
        <v/>
      </c>
      <c r="I157" s="18">
        <f>IF(OR(H157="",NOT(ISNUMBER(D157))),"",ROUND(D157*H157,2))</f>
        <v/>
      </c>
      <c r="J157" s="6">
        <f>IF(A157&amp;""="","",IF(OR(C157="تم",C157="خسارة"),"مغلقة",IF(NOT(ISNUMBER(E157)),"بلا موعد",IF(E157&lt;'الإعدادات'!$B$4,"متأخرة",IF(E157='الإعدادات'!$B$4,"اليوم","قادمة")))))</f>
        <v/>
      </c>
      <c r="K157" s="19">
        <f>IF(OR(J157="متأخرة",J157="اليوم"),'الإعدادات'!$B$4-E157,"")</f>
        <v/>
      </c>
      <c r="L157" s="19">
        <f>IF(OR(A157&amp;""="",NOT(ISNUMBER(F157))),"",'الإعدادات'!$B$4-F157)</f>
        <v/>
      </c>
      <c r="M157" s="19">
        <f>IF(OR(J157="متأخرة",J157="اليوم"),COUNTIFS($J$6:$J$505,"متأخرة",$E$6:$E$505,"&lt;"&amp;E157)+COUNTIFS($J$6:$J$505,"اليوم",$E$6:$E$505,"&lt;"&amp;E157)+COUNTIFS($E$6:E157,E157&amp;"",$J$6:J157,J157),"")</f>
        <v/>
      </c>
    </row>
    <row r="158">
      <c r="A158" s="5" t="n"/>
      <c r="B158" s="5" t="n"/>
      <c r="C158" s="5" t="n"/>
      <c r="D158" s="16" t="n"/>
      <c r="E158" s="13" t="n"/>
      <c r="F158" s="13" t="n"/>
      <c r="G158" s="5" t="n"/>
      <c r="H158" s="17">
        <f>IF(C158&amp;""="","",IFERROR(VLOOKUP(C158,'الإعدادات'!$A$8:$B$13,2,FALSE),""))</f>
        <v/>
      </c>
      <c r="I158" s="18">
        <f>IF(OR(H158="",NOT(ISNUMBER(D158))),"",ROUND(D158*H158,2))</f>
        <v/>
      </c>
      <c r="J158" s="6">
        <f>IF(A158&amp;""="","",IF(OR(C158="تم",C158="خسارة"),"مغلقة",IF(NOT(ISNUMBER(E158)),"بلا موعد",IF(E158&lt;'الإعدادات'!$B$4,"متأخرة",IF(E158='الإعدادات'!$B$4,"اليوم","قادمة")))))</f>
        <v/>
      </c>
      <c r="K158" s="19">
        <f>IF(OR(J158="متأخرة",J158="اليوم"),'الإعدادات'!$B$4-E158,"")</f>
        <v/>
      </c>
      <c r="L158" s="19">
        <f>IF(OR(A158&amp;""="",NOT(ISNUMBER(F158))),"",'الإعدادات'!$B$4-F158)</f>
        <v/>
      </c>
      <c r="M158" s="19">
        <f>IF(OR(J158="متأخرة",J158="اليوم"),COUNTIFS($J$6:$J$505,"متأخرة",$E$6:$E$505,"&lt;"&amp;E158)+COUNTIFS($J$6:$J$505,"اليوم",$E$6:$E$505,"&lt;"&amp;E158)+COUNTIFS($E$6:E158,E158&amp;"",$J$6:J158,J158),"")</f>
        <v/>
      </c>
    </row>
    <row r="159">
      <c r="A159" s="5" t="n"/>
      <c r="B159" s="5" t="n"/>
      <c r="C159" s="5" t="n"/>
      <c r="D159" s="16" t="n"/>
      <c r="E159" s="13" t="n"/>
      <c r="F159" s="13" t="n"/>
      <c r="G159" s="5" t="n"/>
      <c r="H159" s="17">
        <f>IF(C159&amp;""="","",IFERROR(VLOOKUP(C159,'الإعدادات'!$A$8:$B$13,2,FALSE),""))</f>
        <v/>
      </c>
      <c r="I159" s="18">
        <f>IF(OR(H159="",NOT(ISNUMBER(D159))),"",ROUND(D159*H159,2))</f>
        <v/>
      </c>
      <c r="J159" s="6">
        <f>IF(A159&amp;""="","",IF(OR(C159="تم",C159="خسارة"),"مغلقة",IF(NOT(ISNUMBER(E159)),"بلا موعد",IF(E159&lt;'الإعدادات'!$B$4,"متأخرة",IF(E159='الإعدادات'!$B$4,"اليوم","قادمة")))))</f>
        <v/>
      </c>
      <c r="K159" s="19">
        <f>IF(OR(J159="متأخرة",J159="اليوم"),'الإعدادات'!$B$4-E159,"")</f>
        <v/>
      </c>
      <c r="L159" s="19">
        <f>IF(OR(A159&amp;""="",NOT(ISNUMBER(F159))),"",'الإعدادات'!$B$4-F159)</f>
        <v/>
      </c>
      <c r="M159" s="19">
        <f>IF(OR(J159="متأخرة",J159="اليوم"),COUNTIFS($J$6:$J$505,"متأخرة",$E$6:$E$505,"&lt;"&amp;E159)+COUNTIFS($J$6:$J$505,"اليوم",$E$6:$E$505,"&lt;"&amp;E159)+COUNTIFS($E$6:E159,E159&amp;"",$J$6:J159,J159),"")</f>
        <v/>
      </c>
    </row>
    <row r="160">
      <c r="A160" s="5" t="n"/>
      <c r="B160" s="5" t="n"/>
      <c r="C160" s="5" t="n"/>
      <c r="D160" s="16" t="n"/>
      <c r="E160" s="13" t="n"/>
      <c r="F160" s="13" t="n"/>
      <c r="G160" s="5" t="n"/>
      <c r="H160" s="17">
        <f>IF(C160&amp;""="","",IFERROR(VLOOKUP(C160,'الإعدادات'!$A$8:$B$13,2,FALSE),""))</f>
        <v/>
      </c>
      <c r="I160" s="18">
        <f>IF(OR(H160="",NOT(ISNUMBER(D160))),"",ROUND(D160*H160,2))</f>
        <v/>
      </c>
      <c r="J160" s="6">
        <f>IF(A160&amp;""="","",IF(OR(C160="تم",C160="خسارة"),"مغلقة",IF(NOT(ISNUMBER(E160)),"بلا موعد",IF(E160&lt;'الإعدادات'!$B$4,"متأخرة",IF(E160='الإعدادات'!$B$4,"اليوم","قادمة")))))</f>
        <v/>
      </c>
      <c r="K160" s="19">
        <f>IF(OR(J160="متأخرة",J160="اليوم"),'الإعدادات'!$B$4-E160,"")</f>
        <v/>
      </c>
      <c r="L160" s="19">
        <f>IF(OR(A160&amp;""="",NOT(ISNUMBER(F160))),"",'الإعدادات'!$B$4-F160)</f>
        <v/>
      </c>
      <c r="M160" s="19">
        <f>IF(OR(J160="متأخرة",J160="اليوم"),COUNTIFS($J$6:$J$505,"متأخرة",$E$6:$E$505,"&lt;"&amp;E160)+COUNTIFS($J$6:$J$505,"اليوم",$E$6:$E$505,"&lt;"&amp;E160)+COUNTIFS($E$6:E160,E160&amp;"",$J$6:J160,J160),"")</f>
        <v/>
      </c>
    </row>
    <row r="161">
      <c r="A161" s="5" t="n"/>
      <c r="B161" s="5" t="n"/>
      <c r="C161" s="5" t="n"/>
      <c r="D161" s="16" t="n"/>
      <c r="E161" s="13" t="n"/>
      <c r="F161" s="13" t="n"/>
      <c r="G161" s="5" t="n"/>
      <c r="H161" s="17">
        <f>IF(C161&amp;""="","",IFERROR(VLOOKUP(C161,'الإعدادات'!$A$8:$B$13,2,FALSE),""))</f>
        <v/>
      </c>
      <c r="I161" s="18">
        <f>IF(OR(H161="",NOT(ISNUMBER(D161))),"",ROUND(D161*H161,2))</f>
        <v/>
      </c>
      <c r="J161" s="6">
        <f>IF(A161&amp;""="","",IF(OR(C161="تم",C161="خسارة"),"مغلقة",IF(NOT(ISNUMBER(E161)),"بلا موعد",IF(E161&lt;'الإعدادات'!$B$4,"متأخرة",IF(E161='الإعدادات'!$B$4,"اليوم","قادمة")))))</f>
        <v/>
      </c>
      <c r="K161" s="19">
        <f>IF(OR(J161="متأخرة",J161="اليوم"),'الإعدادات'!$B$4-E161,"")</f>
        <v/>
      </c>
      <c r="L161" s="19">
        <f>IF(OR(A161&amp;""="",NOT(ISNUMBER(F161))),"",'الإعدادات'!$B$4-F161)</f>
        <v/>
      </c>
      <c r="M161" s="19">
        <f>IF(OR(J161="متأخرة",J161="اليوم"),COUNTIFS($J$6:$J$505,"متأخرة",$E$6:$E$505,"&lt;"&amp;E161)+COUNTIFS($J$6:$J$505,"اليوم",$E$6:$E$505,"&lt;"&amp;E161)+COUNTIFS($E$6:E161,E161&amp;"",$J$6:J161,J161),"")</f>
        <v/>
      </c>
    </row>
    <row r="162">
      <c r="A162" s="5" t="n"/>
      <c r="B162" s="5" t="n"/>
      <c r="C162" s="5" t="n"/>
      <c r="D162" s="16" t="n"/>
      <c r="E162" s="13" t="n"/>
      <c r="F162" s="13" t="n"/>
      <c r="G162" s="5" t="n"/>
      <c r="H162" s="17">
        <f>IF(C162&amp;""="","",IFERROR(VLOOKUP(C162,'الإعدادات'!$A$8:$B$13,2,FALSE),""))</f>
        <v/>
      </c>
      <c r="I162" s="18">
        <f>IF(OR(H162="",NOT(ISNUMBER(D162))),"",ROUND(D162*H162,2))</f>
        <v/>
      </c>
      <c r="J162" s="6">
        <f>IF(A162&amp;""="","",IF(OR(C162="تم",C162="خسارة"),"مغلقة",IF(NOT(ISNUMBER(E162)),"بلا موعد",IF(E162&lt;'الإعدادات'!$B$4,"متأخرة",IF(E162='الإعدادات'!$B$4,"اليوم","قادمة")))))</f>
        <v/>
      </c>
      <c r="K162" s="19">
        <f>IF(OR(J162="متأخرة",J162="اليوم"),'الإعدادات'!$B$4-E162,"")</f>
        <v/>
      </c>
      <c r="L162" s="19">
        <f>IF(OR(A162&amp;""="",NOT(ISNUMBER(F162))),"",'الإعدادات'!$B$4-F162)</f>
        <v/>
      </c>
      <c r="M162" s="19">
        <f>IF(OR(J162="متأخرة",J162="اليوم"),COUNTIFS($J$6:$J$505,"متأخرة",$E$6:$E$505,"&lt;"&amp;E162)+COUNTIFS($J$6:$J$505,"اليوم",$E$6:$E$505,"&lt;"&amp;E162)+COUNTIFS($E$6:E162,E162&amp;"",$J$6:J162,J162),"")</f>
        <v/>
      </c>
    </row>
    <row r="163">
      <c r="A163" s="5" t="n"/>
      <c r="B163" s="5" t="n"/>
      <c r="C163" s="5" t="n"/>
      <c r="D163" s="16" t="n"/>
      <c r="E163" s="13" t="n"/>
      <c r="F163" s="13" t="n"/>
      <c r="G163" s="5" t="n"/>
      <c r="H163" s="17">
        <f>IF(C163&amp;""="","",IFERROR(VLOOKUP(C163,'الإعدادات'!$A$8:$B$13,2,FALSE),""))</f>
        <v/>
      </c>
      <c r="I163" s="18">
        <f>IF(OR(H163="",NOT(ISNUMBER(D163))),"",ROUND(D163*H163,2))</f>
        <v/>
      </c>
      <c r="J163" s="6">
        <f>IF(A163&amp;""="","",IF(OR(C163="تم",C163="خسارة"),"مغلقة",IF(NOT(ISNUMBER(E163)),"بلا موعد",IF(E163&lt;'الإعدادات'!$B$4,"متأخرة",IF(E163='الإعدادات'!$B$4,"اليوم","قادمة")))))</f>
        <v/>
      </c>
      <c r="K163" s="19">
        <f>IF(OR(J163="متأخرة",J163="اليوم"),'الإعدادات'!$B$4-E163,"")</f>
        <v/>
      </c>
      <c r="L163" s="19">
        <f>IF(OR(A163&amp;""="",NOT(ISNUMBER(F163))),"",'الإعدادات'!$B$4-F163)</f>
        <v/>
      </c>
      <c r="M163" s="19">
        <f>IF(OR(J163="متأخرة",J163="اليوم"),COUNTIFS($J$6:$J$505,"متأخرة",$E$6:$E$505,"&lt;"&amp;E163)+COUNTIFS($J$6:$J$505,"اليوم",$E$6:$E$505,"&lt;"&amp;E163)+COUNTIFS($E$6:E163,E163&amp;"",$J$6:J163,J163),"")</f>
        <v/>
      </c>
    </row>
    <row r="164">
      <c r="A164" s="5" t="n"/>
      <c r="B164" s="5" t="n"/>
      <c r="C164" s="5" t="n"/>
      <c r="D164" s="16" t="n"/>
      <c r="E164" s="13" t="n"/>
      <c r="F164" s="13" t="n"/>
      <c r="G164" s="5" t="n"/>
      <c r="H164" s="17">
        <f>IF(C164&amp;""="","",IFERROR(VLOOKUP(C164,'الإعدادات'!$A$8:$B$13,2,FALSE),""))</f>
        <v/>
      </c>
      <c r="I164" s="18">
        <f>IF(OR(H164="",NOT(ISNUMBER(D164))),"",ROUND(D164*H164,2))</f>
        <v/>
      </c>
      <c r="J164" s="6">
        <f>IF(A164&amp;""="","",IF(OR(C164="تم",C164="خسارة"),"مغلقة",IF(NOT(ISNUMBER(E164)),"بلا موعد",IF(E164&lt;'الإعدادات'!$B$4,"متأخرة",IF(E164='الإعدادات'!$B$4,"اليوم","قادمة")))))</f>
        <v/>
      </c>
      <c r="K164" s="19">
        <f>IF(OR(J164="متأخرة",J164="اليوم"),'الإعدادات'!$B$4-E164,"")</f>
        <v/>
      </c>
      <c r="L164" s="19">
        <f>IF(OR(A164&amp;""="",NOT(ISNUMBER(F164))),"",'الإعدادات'!$B$4-F164)</f>
        <v/>
      </c>
      <c r="M164" s="19">
        <f>IF(OR(J164="متأخرة",J164="اليوم"),COUNTIFS($J$6:$J$505,"متأخرة",$E$6:$E$505,"&lt;"&amp;E164)+COUNTIFS($J$6:$J$505,"اليوم",$E$6:$E$505,"&lt;"&amp;E164)+COUNTIFS($E$6:E164,E164&amp;"",$J$6:J164,J164),"")</f>
        <v/>
      </c>
    </row>
    <row r="165">
      <c r="A165" s="5" t="n"/>
      <c r="B165" s="5" t="n"/>
      <c r="C165" s="5" t="n"/>
      <c r="D165" s="16" t="n"/>
      <c r="E165" s="13" t="n"/>
      <c r="F165" s="13" t="n"/>
      <c r="G165" s="5" t="n"/>
      <c r="H165" s="17">
        <f>IF(C165&amp;""="","",IFERROR(VLOOKUP(C165,'الإعدادات'!$A$8:$B$13,2,FALSE),""))</f>
        <v/>
      </c>
      <c r="I165" s="18">
        <f>IF(OR(H165="",NOT(ISNUMBER(D165))),"",ROUND(D165*H165,2))</f>
        <v/>
      </c>
      <c r="J165" s="6">
        <f>IF(A165&amp;""="","",IF(OR(C165="تم",C165="خسارة"),"مغلقة",IF(NOT(ISNUMBER(E165)),"بلا موعد",IF(E165&lt;'الإعدادات'!$B$4,"متأخرة",IF(E165='الإعدادات'!$B$4,"اليوم","قادمة")))))</f>
        <v/>
      </c>
      <c r="K165" s="19">
        <f>IF(OR(J165="متأخرة",J165="اليوم"),'الإعدادات'!$B$4-E165,"")</f>
        <v/>
      </c>
      <c r="L165" s="19">
        <f>IF(OR(A165&amp;""="",NOT(ISNUMBER(F165))),"",'الإعدادات'!$B$4-F165)</f>
        <v/>
      </c>
      <c r="M165" s="19">
        <f>IF(OR(J165="متأخرة",J165="اليوم"),COUNTIFS($J$6:$J$505,"متأخرة",$E$6:$E$505,"&lt;"&amp;E165)+COUNTIFS($J$6:$J$505,"اليوم",$E$6:$E$505,"&lt;"&amp;E165)+COUNTIFS($E$6:E165,E165&amp;"",$J$6:J165,J165),"")</f>
        <v/>
      </c>
    </row>
    <row r="166">
      <c r="A166" s="5" t="n"/>
      <c r="B166" s="5" t="n"/>
      <c r="C166" s="5" t="n"/>
      <c r="D166" s="16" t="n"/>
      <c r="E166" s="13" t="n"/>
      <c r="F166" s="13" t="n"/>
      <c r="G166" s="5" t="n"/>
      <c r="H166" s="17">
        <f>IF(C166&amp;""="","",IFERROR(VLOOKUP(C166,'الإعدادات'!$A$8:$B$13,2,FALSE),""))</f>
        <v/>
      </c>
      <c r="I166" s="18">
        <f>IF(OR(H166="",NOT(ISNUMBER(D166))),"",ROUND(D166*H166,2))</f>
        <v/>
      </c>
      <c r="J166" s="6">
        <f>IF(A166&amp;""="","",IF(OR(C166="تم",C166="خسارة"),"مغلقة",IF(NOT(ISNUMBER(E166)),"بلا موعد",IF(E166&lt;'الإعدادات'!$B$4,"متأخرة",IF(E166='الإعدادات'!$B$4,"اليوم","قادمة")))))</f>
        <v/>
      </c>
      <c r="K166" s="19">
        <f>IF(OR(J166="متأخرة",J166="اليوم"),'الإعدادات'!$B$4-E166,"")</f>
        <v/>
      </c>
      <c r="L166" s="19">
        <f>IF(OR(A166&amp;""="",NOT(ISNUMBER(F166))),"",'الإعدادات'!$B$4-F166)</f>
        <v/>
      </c>
      <c r="M166" s="19">
        <f>IF(OR(J166="متأخرة",J166="اليوم"),COUNTIFS($J$6:$J$505,"متأخرة",$E$6:$E$505,"&lt;"&amp;E166)+COUNTIFS($J$6:$J$505,"اليوم",$E$6:$E$505,"&lt;"&amp;E166)+COUNTIFS($E$6:E166,E166&amp;"",$J$6:J166,J166),"")</f>
        <v/>
      </c>
    </row>
    <row r="167">
      <c r="A167" s="5" t="n"/>
      <c r="B167" s="5" t="n"/>
      <c r="C167" s="5" t="n"/>
      <c r="D167" s="16" t="n"/>
      <c r="E167" s="13" t="n"/>
      <c r="F167" s="13" t="n"/>
      <c r="G167" s="5" t="n"/>
      <c r="H167" s="17">
        <f>IF(C167&amp;""="","",IFERROR(VLOOKUP(C167,'الإعدادات'!$A$8:$B$13,2,FALSE),""))</f>
        <v/>
      </c>
      <c r="I167" s="18">
        <f>IF(OR(H167="",NOT(ISNUMBER(D167))),"",ROUND(D167*H167,2))</f>
        <v/>
      </c>
      <c r="J167" s="6">
        <f>IF(A167&amp;""="","",IF(OR(C167="تم",C167="خسارة"),"مغلقة",IF(NOT(ISNUMBER(E167)),"بلا موعد",IF(E167&lt;'الإعدادات'!$B$4,"متأخرة",IF(E167='الإعدادات'!$B$4,"اليوم","قادمة")))))</f>
        <v/>
      </c>
      <c r="K167" s="19">
        <f>IF(OR(J167="متأخرة",J167="اليوم"),'الإعدادات'!$B$4-E167,"")</f>
        <v/>
      </c>
      <c r="L167" s="19">
        <f>IF(OR(A167&amp;""="",NOT(ISNUMBER(F167))),"",'الإعدادات'!$B$4-F167)</f>
        <v/>
      </c>
      <c r="M167" s="19">
        <f>IF(OR(J167="متأخرة",J167="اليوم"),COUNTIFS($J$6:$J$505,"متأخرة",$E$6:$E$505,"&lt;"&amp;E167)+COUNTIFS($J$6:$J$505,"اليوم",$E$6:$E$505,"&lt;"&amp;E167)+COUNTIFS($E$6:E167,E167&amp;"",$J$6:J167,J167),"")</f>
        <v/>
      </c>
    </row>
    <row r="168">
      <c r="A168" s="5" t="n"/>
      <c r="B168" s="5" t="n"/>
      <c r="C168" s="5" t="n"/>
      <c r="D168" s="16" t="n"/>
      <c r="E168" s="13" t="n"/>
      <c r="F168" s="13" t="n"/>
      <c r="G168" s="5" t="n"/>
      <c r="H168" s="17">
        <f>IF(C168&amp;""="","",IFERROR(VLOOKUP(C168,'الإعدادات'!$A$8:$B$13,2,FALSE),""))</f>
        <v/>
      </c>
      <c r="I168" s="18">
        <f>IF(OR(H168="",NOT(ISNUMBER(D168))),"",ROUND(D168*H168,2))</f>
        <v/>
      </c>
      <c r="J168" s="6">
        <f>IF(A168&amp;""="","",IF(OR(C168="تم",C168="خسارة"),"مغلقة",IF(NOT(ISNUMBER(E168)),"بلا موعد",IF(E168&lt;'الإعدادات'!$B$4,"متأخرة",IF(E168='الإعدادات'!$B$4,"اليوم","قادمة")))))</f>
        <v/>
      </c>
      <c r="K168" s="19">
        <f>IF(OR(J168="متأخرة",J168="اليوم"),'الإعدادات'!$B$4-E168,"")</f>
        <v/>
      </c>
      <c r="L168" s="19">
        <f>IF(OR(A168&amp;""="",NOT(ISNUMBER(F168))),"",'الإعدادات'!$B$4-F168)</f>
        <v/>
      </c>
      <c r="M168" s="19">
        <f>IF(OR(J168="متأخرة",J168="اليوم"),COUNTIFS($J$6:$J$505,"متأخرة",$E$6:$E$505,"&lt;"&amp;E168)+COUNTIFS($J$6:$J$505,"اليوم",$E$6:$E$505,"&lt;"&amp;E168)+COUNTIFS($E$6:E168,E168&amp;"",$J$6:J168,J168),"")</f>
        <v/>
      </c>
    </row>
    <row r="169">
      <c r="A169" s="5" t="n"/>
      <c r="B169" s="5" t="n"/>
      <c r="C169" s="5" t="n"/>
      <c r="D169" s="16" t="n"/>
      <c r="E169" s="13" t="n"/>
      <c r="F169" s="13" t="n"/>
      <c r="G169" s="5" t="n"/>
      <c r="H169" s="17">
        <f>IF(C169&amp;""="","",IFERROR(VLOOKUP(C169,'الإعدادات'!$A$8:$B$13,2,FALSE),""))</f>
        <v/>
      </c>
      <c r="I169" s="18">
        <f>IF(OR(H169="",NOT(ISNUMBER(D169))),"",ROUND(D169*H169,2))</f>
        <v/>
      </c>
      <c r="J169" s="6">
        <f>IF(A169&amp;""="","",IF(OR(C169="تم",C169="خسارة"),"مغلقة",IF(NOT(ISNUMBER(E169)),"بلا موعد",IF(E169&lt;'الإعدادات'!$B$4,"متأخرة",IF(E169='الإعدادات'!$B$4,"اليوم","قادمة")))))</f>
        <v/>
      </c>
      <c r="K169" s="19">
        <f>IF(OR(J169="متأخرة",J169="اليوم"),'الإعدادات'!$B$4-E169,"")</f>
        <v/>
      </c>
      <c r="L169" s="19">
        <f>IF(OR(A169&amp;""="",NOT(ISNUMBER(F169))),"",'الإعدادات'!$B$4-F169)</f>
        <v/>
      </c>
      <c r="M169" s="19">
        <f>IF(OR(J169="متأخرة",J169="اليوم"),COUNTIFS($J$6:$J$505,"متأخرة",$E$6:$E$505,"&lt;"&amp;E169)+COUNTIFS($J$6:$J$505,"اليوم",$E$6:$E$505,"&lt;"&amp;E169)+COUNTIFS($E$6:E169,E169&amp;"",$J$6:J169,J169),"")</f>
        <v/>
      </c>
    </row>
    <row r="170">
      <c r="A170" s="5" t="n"/>
      <c r="B170" s="5" t="n"/>
      <c r="C170" s="5" t="n"/>
      <c r="D170" s="16" t="n"/>
      <c r="E170" s="13" t="n"/>
      <c r="F170" s="13" t="n"/>
      <c r="G170" s="5" t="n"/>
      <c r="H170" s="17">
        <f>IF(C170&amp;""="","",IFERROR(VLOOKUP(C170,'الإعدادات'!$A$8:$B$13,2,FALSE),""))</f>
        <v/>
      </c>
      <c r="I170" s="18">
        <f>IF(OR(H170="",NOT(ISNUMBER(D170))),"",ROUND(D170*H170,2))</f>
        <v/>
      </c>
      <c r="J170" s="6">
        <f>IF(A170&amp;""="","",IF(OR(C170="تم",C170="خسارة"),"مغلقة",IF(NOT(ISNUMBER(E170)),"بلا موعد",IF(E170&lt;'الإعدادات'!$B$4,"متأخرة",IF(E170='الإعدادات'!$B$4,"اليوم","قادمة")))))</f>
        <v/>
      </c>
      <c r="K170" s="19">
        <f>IF(OR(J170="متأخرة",J170="اليوم"),'الإعدادات'!$B$4-E170,"")</f>
        <v/>
      </c>
      <c r="L170" s="19">
        <f>IF(OR(A170&amp;""="",NOT(ISNUMBER(F170))),"",'الإعدادات'!$B$4-F170)</f>
        <v/>
      </c>
      <c r="M170" s="19">
        <f>IF(OR(J170="متأخرة",J170="اليوم"),COUNTIFS($J$6:$J$505,"متأخرة",$E$6:$E$505,"&lt;"&amp;E170)+COUNTIFS($J$6:$J$505,"اليوم",$E$6:$E$505,"&lt;"&amp;E170)+COUNTIFS($E$6:E170,E170&amp;"",$J$6:J170,J170),"")</f>
        <v/>
      </c>
    </row>
    <row r="171">
      <c r="A171" s="5" t="n"/>
      <c r="B171" s="5" t="n"/>
      <c r="C171" s="5" t="n"/>
      <c r="D171" s="16" t="n"/>
      <c r="E171" s="13" t="n"/>
      <c r="F171" s="13" t="n"/>
      <c r="G171" s="5" t="n"/>
      <c r="H171" s="17">
        <f>IF(C171&amp;""="","",IFERROR(VLOOKUP(C171,'الإعدادات'!$A$8:$B$13,2,FALSE),""))</f>
        <v/>
      </c>
      <c r="I171" s="18">
        <f>IF(OR(H171="",NOT(ISNUMBER(D171))),"",ROUND(D171*H171,2))</f>
        <v/>
      </c>
      <c r="J171" s="6">
        <f>IF(A171&amp;""="","",IF(OR(C171="تم",C171="خسارة"),"مغلقة",IF(NOT(ISNUMBER(E171)),"بلا موعد",IF(E171&lt;'الإعدادات'!$B$4,"متأخرة",IF(E171='الإعدادات'!$B$4,"اليوم","قادمة")))))</f>
        <v/>
      </c>
      <c r="K171" s="19">
        <f>IF(OR(J171="متأخرة",J171="اليوم"),'الإعدادات'!$B$4-E171,"")</f>
        <v/>
      </c>
      <c r="L171" s="19">
        <f>IF(OR(A171&amp;""="",NOT(ISNUMBER(F171))),"",'الإعدادات'!$B$4-F171)</f>
        <v/>
      </c>
      <c r="M171" s="19">
        <f>IF(OR(J171="متأخرة",J171="اليوم"),COUNTIFS($J$6:$J$505,"متأخرة",$E$6:$E$505,"&lt;"&amp;E171)+COUNTIFS($J$6:$J$505,"اليوم",$E$6:$E$505,"&lt;"&amp;E171)+COUNTIFS($E$6:E171,E171&amp;"",$J$6:J171,J171),"")</f>
        <v/>
      </c>
    </row>
    <row r="172">
      <c r="A172" s="5" t="n"/>
      <c r="B172" s="5" t="n"/>
      <c r="C172" s="5" t="n"/>
      <c r="D172" s="16" t="n"/>
      <c r="E172" s="13" t="n"/>
      <c r="F172" s="13" t="n"/>
      <c r="G172" s="5" t="n"/>
      <c r="H172" s="17">
        <f>IF(C172&amp;""="","",IFERROR(VLOOKUP(C172,'الإعدادات'!$A$8:$B$13,2,FALSE),""))</f>
        <v/>
      </c>
      <c r="I172" s="18">
        <f>IF(OR(H172="",NOT(ISNUMBER(D172))),"",ROUND(D172*H172,2))</f>
        <v/>
      </c>
      <c r="J172" s="6">
        <f>IF(A172&amp;""="","",IF(OR(C172="تم",C172="خسارة"),"مغلقة",IF(NOT(ISNUMBER(E172)),"بلا موعد",IF(E172&lt;'الإعدادات'!$B$4,"متأخرة",IF(E172='الإعدادات'!$B$4,"اليوم","قادمة")))))</f>
        <v/>
      </c>
      <c r="K172" s="19">
        <f>IF(OR(J172="متأخرة",J172="اليوم"),'الإعدادات'!$B$4-E172,"")</f>
        <v/>
      </c>
      <c r="L172" s="19">
        <f>IF(OR(A172&amp;""="",NOT(ISNUMBER(F172))),"",'الإعدادات'!$B$4-F172)</f>
        <v/>
      </c>
      <c r="M172" s="19">
        <f>IF(OR(J172="متأخرة",J172="اليوم"),COUNTIFS($J$6:$J$505,"متأخرة",$E$6:$E$505,"&lt;"&amp;E172)+COUNTIFS($J$6:$J$505,"اليوم",$E$6:$E$505,"&lt;"&amp;E172)+COUNTIFS($E$6:E172,E172&amp;"",$J$6:J172,J172),"")</f>
        <v/>
      </c>
    </row>
    <row r="173">
      <c r="A173" s="5" t="n"/>
      <c r="B173" s="5" t="n"/>
      <c r="C173" s="5" t="n"/>
      <c r="D173" s="16" t="n"/>
      <c r="E173" s="13" t="n"/>
      <c r="F173" s="13" t="n"/>
      <c r="G173" s="5" t="n"/>
      <c r="H173" s="17">
        <f>IF(C173&amp;""="","",IFERROR(VLOOKUP(C173,'الإعدادات'!$A$8:$B$13,2,FALSE),""))</f>
        <v/>
      </c>
      <c r="I173" s="18">
        <f>IF(OR(H173="",NOT(ISNUMBER(D173))),"",ROUND(D173*H173,2))</f>
        <v/>
      </c>
      <c r="J173" s="6">
        <f>IF(A173&amp;""="","",IF(OR(C173="تم",C173="خسارة"),"مغلقة",IF(NOT(ISNUMBER(E173)),"بلا موعد",IF(E173&lt;'الإعدادات'!$B$4,"متأخرة",IF(E173='الإعدادات'!$B$4,"اليوم","قادمة")))))</f>
        <v/>
      </c>
      <c r="K173" s="19">
        <f>IF(OR(J173="متأخرة",J173="اليوم"),'الإعدادات'!$B$4-E173,"")</f>
        <v/>
      </c>
      <c r="L173" s="19">
        <f>IF(OR(A173&amp;""="",NOT(ISNUMBER(F173))),"",'الإعدادات'!$B$4-F173)</f>
        <v/>
      </c>
      <c r="M173" s="19">
        <f>IF(OR(J173="متأخرة",J173="اليوم"),COUNTIFS($J$6:$J$505,"متأخرة",$E$6:$E$505,"&lt;"&amp;E173)+COUNTIFS($J$6:$J$505,"اليوم",$E$6:$E$505,"&lt;"&amp;E173)+COUNTIFS($E$6:E173,E173&amp;"",$J$6:J173,J173),"")</f>
        <v/>
      </c>
    </row>
    <row r="174">
      <c r="A174" s="5" t="n"/>
      <c r="B174" s="5" t="n"/>
      <c r="C174" s="5" t="n"/>
      <c r="D174" s="16" t="n"/>
      <c r="E174" s="13" t="n"/>
      <c r="F174" s="13" t="n"/>
      <c r="G174" s="5" t="n"/>
      <c r="H174" s="17">
        <f>IF(C174&amp;""="","",IFERROR(VLOOKUP(C174,'الإعدادات'!$A$8:$B$13,2,FALSE),""))</f>
        <v/>
      </c>
      <c r="I174" s="18">
        <f>IF(OR(H174="",NOT(ISNUMBER(D174))),"",ROUND(D174*H174,2))</f>
        <v/>
      </c>
      <c r="J174" s="6">
        <f>IF(A174&amp;""="","",IF(OR(C174="تم",C174="خسارة"),"مغلقة",IF(NOT(ISNUMBER(E174)),"بلا موعد",IF(E174&lt;'الإعدادات'!$B$4,"متأخرة",IF(E174='الإعدادات'!$B$4,"اليوم","قادمة")))))</f>
        <v/>
      </c>
      <c r="K174" s="19">
        <f>IF(OR(J174="متأخرة",J174="اليوم"),'الإعدادات'!$B$4-E174,"")</f>
        <v/>
      </c>
      <c r="L174" s="19">
        <f>IF(OR(A174&amp;""="",NOT(ISNUMBER(F174))),"",'الإعدادات'!$B$4-F174)</f>
        <v/>
      </c>
      <c r="M174" s="19">
        <f>IF(OR(J174="متأخرة",J174="اليوم"),COUNTIFS($J$6:$J$505,"متأخرة",$E$6:$E$505,"&lt;"&amp;E174)+COUNTIFS($J$6:$J$505,"اليوم",$E$6:$E$505,"&lt;"&amp;E174)+COUNTIFS($E$6:E174,E174&amp;"",$J$6:J174,J174),"")</f>
        <v/>
      </c>
    </row>
    <row r="175">
      <c r="A175" s="5" t="n"/>
      <c r="B175" s="5" t="n"/>
      <c r="C175" s="5" t="n"/>
      <c r="D175" s="16" t="n"/>
      <c r="E175" s="13" t="n"/>
      <c r="F175" s="13" t="n"/>
      <c r="G175" s="5" t="n"/>
      <c r="H175" s="17">
        <f>IF(C175&amp;""="","",IFERROR(VLOOKUP(C175,'الإعدادات'!$A$8:$B$13,2,FALSE),""))</f>
        <v/>
      </c>
      <c r="I175" s="18">
        <f>IF(OR(H175="",NOT(ISNUMBER(D175))),"",ROUND(D175*H175,2))</f>
        <v/>
      </c>
      <c r="J175" s="6">
        <f>IF(A175&amp;""="","",IF(OR(C175="تم",C175="خسارة"),"مغلقة",IF(NOT(ISNUMBER(E175)),"بلا موعد",IF(E175&lt;'الإعدادات'!$B$4,"متأخرة",IF(E175='الإعدادات'!$B$4,"اليوم","قادمة")))))</f>
        <v/>
      </c>
      <c r="K175" s="19">
        <f>IF(OR(J175="متأخرة",J175="اليوم"),'الإعدادات'!$B$4-E175,"")</f>
        <v/>
      </c>
      <c r="L175" s="19">
        <f>IF(OR(A175&amp;""="",NOT(ISNUMBER(F175))),"",'الإعدادات'!$B$4-F175)</f>
        <v/>
      </c>
      <c r="M175" s="19">
        <f>IF(OR(J175="متأخرة",J175="اليوم"),COUNTIFS($J$6:$J$505,"متأخرة",$E$6:$E$505,"&lt;"&amp;E175)+COUNTIFS($J$6:$J$505,"اليوم",$E$6:$E$505,"&lt;"&amp;E175)+COUNTIFS($E$6:E175,E175&amp;"",$J$6:J175,J175),"")</f>
        <v/>
      </c>
    </row>
    <row r="176">
      <c r="A176" s="5" t="n"/>
      <c r="B176" s="5" t="n"/>
      <c r="C176" s="5" t="n"/>
      <c r="D176" s="16" t="n"/>
      <c r="E176" s="13" t="n"/>
      <c r="F176" s="13" t="n"/>
      <c r="G176" s="5" t="n"/>
      <c r="H176" s="17">
        <f>IF(C176&amp;""="","",IFERROR(VLOOKUP(C176,'الإعدادات'!$A$8:$B$13,2,FALSE),""))</f>
        <v/>
      </c>
      <c r="I176" s="18">
        <f>IF(OR(H176="",NOT(ISNUMBER(D176))),"",ROUND(D176*H176,2))</f>
        <v/>
      </c>
      <c r="J176" s="6">
        <f>IF(A176&amp;""="","",IF(OR(C176="تم",C176="خسارة"),"مغلقة",IF(NOT(ISNUMBER(E176)),"بلا موعد",IF(E176&lt;'الإعدادات'!$B$4,"متأخرة",IF(E176='الإعدادات'!$B$4,"اليوم","قادمة")))))</f>
        <v/>
      </c>
      <c r="K176" s="19">
        <f>IF(OR(J176="متأخرة",J176="اليوم"),'الإعدادات'!$B$4-E176,"")</f>
        <v/>
      </c>
      <c r="L176" s="19">
        <f>IF(OR(A176&amp;""="",NOT(ISNUMBER(F176))),"",'الإعدادات'!$B$4-F176)</f>
        <v/>
      </c>
      <c r="M176" s="19">
        <f>IF(OR(J176="متأخرة",J176="اليوم"),COUNTIFS($J$6:$J$505,"متأخرة",$E$6:$E$505,"&lt;"&amp;E176)+COUNTIFS($J$6:$J$505,"اليوم",$E$6:$E$505,"&lt;"&amp;E176)+COUNTIFS($E$6:E176,E176&amp;"",$J$6:J176,J176),"")</f>
        <v/>
      </c>
    </row>
    <row r="177">
      <c r="A177" s="5" t="n"/>
      <c r="B177" s="5" t="n"/>
      <c r="C177" s="5" t="n"/>
      <c r="D177" s="16" t="n"/>
      <c r="E177" s="13" t="n"/>
      <c r="F177" s="13" t="n"/>
      <c r="G177" s="5" t="n"/>
      <c r="H177" s="17">
        <f>IF(C177&amp;""="","",IFERROR(VLOOKUP(C177,'الإعدادات'!$A$8:$B$13,2,FALSE),""))</f>
        <v/>
      </c>
      <c r="I177" s="18">
        <f>IF(OR(H177="",NOT(ISNUMBER(D177))),"",ROUND(D177*H177,2))</f>
        <v/>
      </c>
      <c r="J177" s="6">
        <f>IF(A177&amp;""="","",IF(OR(C177="تم",C177="خسارة"),"مغلقة",IF(NOT(ISNUMBER(E177)),"بلا موعد",IF(E177&lt;'الإعدادات'!$B$4,"متأخرة",IF(E177='الإعدادات'!$B$4,"اليوم","قادمة")))))</f>
        <v/>
      </c>
      <c r="K177" s="19">
        <f>IF(OR(J177="متأخرة",J177="اليوم"),'الإعدادات'!$B$4-E177,"")</f>
        <v/>
      </c>
      <c r="L177" s="19">
        <f>IF(OR(A177&amp;""="",NOT(ISNUMBER(F177))),"",'الإعدادات'!$B$4-F177)</f>
        <v/>
      </c>
      <c r="M177" s="19">
        <f>IF(OR(J177="متأخرة",J177="اليوم"),COUNTIFS($J$6:$J$505,"متأخرة",$E$6:$E$505,"&lt;"&amp;E177)+COUNTIFS($J$6:$J$505,"اليوم",$E$6:$E$505,"&lt;"&amp;E177)+COUNTIFS($E$6:E177,E177&amp;"",$J$6:J177,J177),"")</f>
        <v/>
      </c>
    </row>
    <row r="178">
      <c r="A178" s="5" t="n"/>
      <c r="B178" s="5" t="n"/>
      <c r="C178" s="5" t="n"/>
      <c r="D178" s="16" t="n"/>
      <c r="E178" s="13" t="n"/>
      <c r="F178" s="13" t="n"/>
      <c r="G178" s="5" t="n"/>
      <c r="H178" s="17">
        <f>IF(C178&amp;""="","",IFERROR(VLOOKUP(C178,'الإعدادات'!$A$8:$B$13,2,FALSE),""))</f>
        <v/>
      </c>
      <c r="I178" s="18">
        <f>IF(OR(H178="",NOT(ISNUMBER(D178))),"",ROUND(D178*H178,2))</f>
        <v/>
      </c>
      <c r="J178" s="6">
        <f>IF(A178&amp;""="","",IF(OR(C178="تم",C178="خسارة"),"مغلقة",IF(NOT(ISNUMBER(E178)),"بلا موعد",IF(E178&lt;'الإعدادات'!$B$4,"متأخرة",IF(E178='الإعدادات'!$B$4,"اليوم","قادمة")))))</f>
        <v/>
      </c>
      <c r="K178" s="19">
        <f>IF(OR(J178="متأخرة",J178="اليوم"),'الإعدادات'!$B$4-E178,"")</f>
        <v/>
      </c>
      <c r="L178" s="19">
        <f>IF(OR(A178&amp;""="",NOT(ISNUMBER(F178))),"",'الإعدادات'!$B$4-F178)</f>
        <v/>
      </c>
      <c r="M178" s="19">
        <f>IF(OR(J178="متأخرة",J178="اليوم"),COUNTIFS($J$6:$J$505,"متأخرة",$E$6:$E$505,"&lt;"&amp;E178)+COUNTIFS($J$6:$J$505,"اليوم",$E$6:$E$505,"&lt;"&amp;E178)+COUNTIFS($E$6:E178,E178&amp;"",$J$6:J178,J178),"")</f>
        <v/>
      </c>
    </row>
    <row r="179">
      <c r="A179" s="5" t="n"/>
      <c r="B179" s="5" t="n"/>
      <c r="C179" s="5" t="n"/>
      <c r="D179" s="16" t="n"/>
      <c r="E179" s="13" t="n"/>
      <c r="F179" s="13" t="n"/>
      <c r="G179" s="5" t="n"/>
      <c r="H179" s="17">
        <f>IF(C179&amp;""="","",IFERROR(VLOOKUP(C179,'الإعدادات'!$A$8:$B$13,2,FALSE),""))</f>
        <v/>
      </c>
      <c r="I179" s="18">
        <f>IF(OR(H179="",NOT(ISNUMBER(D179))),"",ROUND(D179*H179,2))</f>
        <v/>
      </c>
      <c r="J179" s="6">
        <f>IF(A179&amp;""="","",IF(OR(C179="تم",C179="خسارة"),"مغلقة",IF(NOT(ISNUMBER(E179)),"بلا موعد",IF(E179&lt;'الإعدادات'!$B$4,"متأخرة",IF(E179='الإعدادات'!$B$4,"اليوم","قادمة")))))</f>
        <v/>
      </c>
      <c r="K179" s="19">
        <f>IF(OR(J179="متأخرة",J179="اليوم"),'الإعدادات'!$B$4-E179,"")</f>
        <v/>
      </c>
      <c r="L179" s="19">
        <f>IF(OR(A179&amp;""="",NOT(ISNUMBER(F179))),"",'الإعدادات'!$B$4-F179)</f>
        <v/>
      </c>
      <c r="M179" s="19">
        <f>IF(OR(J179="متأخرة",J179="اليوم"),COUNTIFS($J$6:$J$505,"متأخرة",$E$6:$E$505,"&lt;"&amp;E179)+COUNTIFS($J$6:$J$505,"اليوم",$E$6:$E$505,"&lt;"&amp;E179)+COUNTIFS($E$6:E179,E179&amp;"",$J$6:J179,J179),"")</f>
        <v/>
      </c>
    </row>
    <row r="180">
      <c r="A180" s="5" t="n"/>
      <c r="B180" s="5" t="n"/>
      <c r="C180" s="5" t="n"/>
      <c r="D180" s="16" t="n"/>
      <c r="E180" s="13" t="n"/>
      <c r="F180" s="13" t="n"/>
      <c r="G180" s="5" t="n"/>
      <c r="H180" s="17">
        <f>IF(C180&amp;""="","",IFERROR(VLOOKUP(C180,'الإعدادات'!$A$8:$B$13,2,FALSE),""))</f>
        <v/>
      </c>
      <c r="I180" s="18">
        <f>IF(OR(H180="",NOT(ISNUMBER(D180))),"",ROUND(D180*H180,2))</f>
        <v/>
      </c>
      <c r="J180" s="6">
        <f>IF(A180&amp;""="","",IF(OR(C180="تم",C180="خسارة"),"مغلقة",IF(NOT(ISNUMBER(E180)),"بلا موعد",IF(E180&lt;'الإعدادات'!$B$4,"متأخرة",IF(E180='الإعدادات'!$B$4,"اليوم","قادمة")))))</f>
        <v/>
      </c>
      <c r="K180" s="19">
        <f>IF(OR(J180="متأخرة",J180="اليوم"),'الإعدادات'!$B$4-E180,"")</f>
        <v/>
      </c>
      <c r="L180" s="19">
        <f>IF(OR(A180&amp;""="",NOT(ISNUMBER(F180))),"",'الإعدادات'!$B$4-F180)</f>
        <v/>
      </c>
      <c r="M180" s="19">
        <f>IF(OR(J180="متأخرة",J180="اليوم"),COUNTIFS($J$6:$J$505,"متأخرة",$E$6:$E$505,"&lt;"&amp;E180)+COUNTIFS($J$6:$J$505,"اليوم",$E$6:$E$505,"&lt;"&amp;E180)+COUNTIFS($E$6:E180,E180&amp;"",$J$6:J180,J180),"")</f>
        <v/>
      </c>
    </row>
    <row r="181">
      <c r="A181" s="5" t="n"/>
      <c r="B181" s="5" t="n"/>
      <c r="C181" s="5" t="n"/>
      <c r="D181" s="16" t="n"/>
      <c r="E181" s="13" t="n"/>
      <c r="F181" s="13" t="n"/>
      <c r="G181" s="5" t="n"/>
      <c r="H181" s="17">
        <f>IF(C181&amp;""="","",IFERROR(VLOOKUP(C181,'الإعدادات'!$A$8:$B$13,2,FALSE),""))</f>
        <v/>
      </c>
      <c r="I181" s="18">
        <f>IF(OR(H181="",NOT(ISNUMBER(D181))),"",ROUND(D181*H181,2))</f>
        <v/>
      </c>
      <c r="J181" s="6">
        <f>IF(A181&amp;""="","",IF(OR(C181="تم",C181="خسارة"),"مغلقة",IF(NOT(ISNUMBER(E181)),"بلا موعد",IF(E181&lt;'الإعدادات'!$B$4,"متأخرة",IF(E181='الإعدادات'!$B$4,"اليوم","قادمة")))))</f>
        <v/>
      </c>
      <c r="K181" s="19">
        <f>IF(OR(J181="متأخرة",J181="اليوم"),'الإعدادات'!$B$4-E181,"")</f>
        <v/>
      </c>
      <c r="L181" s="19">
        <f>IF(OR(A181&amp;""="",NOT(ISNUMBER(F181))),"",'الإعدادات'!$B$4-F181)</f>
        <v/>
      </c>
      <c r="M181" s="19">
        <f>IF(OR(J181="متأخرة",J181="اليوم"),COUNTIFS($J$6:$J$505,"متأخرة",$E$6:$E$505,"&lt;"&amp;E181)+COUNTIFS($J$6:$J$505,"اليوم",$E$6:$E$505,"&lt;"&amp;E181)+COUNTIFS($E$6:E181,E181&amp;"",$J$6:J181,J181),"")</f>
        <v/>
      </c>
    </row>
    <row r="182">
      <c r="A182" s="5" t="n"/>
      <c r="B182" s="5" t="n"/>
      <c r="C182" s="5" t="n"/>
      <c r="D182" s="16" t="n"/>
      <c r="E182" s="13" t="n"/>
      <c r="F182" s="13" t="n"/>
      <c r="G182" s="5" t="n"/>
      <c r="H182" s="17">
        <f>IF(C182&amp;""="","",IFERROR(VLOOKUP(C182,'الإعدادات'!$A$8:$B$13,2,FALSE),""))</f>
        <v/>
      </c>
      <c r="I182" s="18">
        <f>IF(OR(H182="",NOT(ISNUMBER(D182))),"",ROUND(D182*H182,2))</f>
        <v/>
      </c>
      <c r="J182" s="6">
        <f>IF(A182&amp;""="","",IF(OR(C182="تم",C182="خسارة"),"مغلقة",IF(NOT(ISNUMBER(E182)),"بلا موعد",IF(E182&lt;'الإعدادات'!$B$4,"متأخرة",IF(E182='الإعدادات'!$B$4,"اليوم","قادمة")))))</f>
        <v/>
      </c>
      <c r="K182" s="19">
        <f>IF(OR(J182="متأخرة",J182="اليوم"),'الإعدادات'!$B$4-E182,"")</f>
        <v/>
      </c>
      <c r="L182" s="19">
        <f>IF(OR(A182&amp;""="",NOT(ISNUMBER(F182))),"",'الإعدادات'!$B$4-F182)</f>
        <v/>
      </c>
      <c r="M182" s="19">
        <f>IF(OR(J182="متأخرة",J182="اليوم"),COUNTIFS($J$6:$J$505,"متأخرة",$E$6:$E$505,"&lt;"&amp;E182)+COUNTIFS($J$6:$J$505,"اليوم",$E$6:$E$505,"&lt;"&amp;E182)+COUNTIFS($E$6:E182,E182&amp;"",$J$6:J182,J182),"")</f>
        <v/>
      </c>
    </row>
    <row r="183">
      <c r="A183" s="5" t="n"/>
      <c r="B183" s="5" t="n"/>
      <c r="C183" s="5" t="n"/>
      <c r="D183" s="16" t="n"/>
      <c r="E183" s="13" t="n"/>
      <c r="F183" s="13" t="n"/>
      <c r="G183" s="5" t="n"/>
      <c r="H183" s="17">
        <f>IF(C183&amp;""="","",IFERROR(VLOOKUP(C183,'الإعدادات'!$A$8:$B$13,2,FALSE),""))</f>
        <v/>
      </c>
      <c r="I183" s="18">
        <f>IF(OR(H183="",NOT(ISNUMBER(D183))),"",ROUND(D183*H183,2))</f>
        <v/>
      </c>
      <c r="J183" s="6">
        <f>IF(A183&amp;""="","",IF(OR(C183="تم",C183="خسارة"),"مغلقة",IF(NOT(ISNUMBER(E183)),"بلا موعد",IF(E183&lt;'الإعدادات'!$B$4,"متأخرة",IF(E183='الإعدادات'!$B$4,"اليوم","قادمة")))))</f>
        <v/>
      </c>
      <c r="K183" s="19">
        <f>IF(OR(J183="متأخرة",J183="اليوم"),'الإعدادات'!$B$4-E183,"")</f>
        <v/>
      </c>
      <c r="L183" s="19">
        <f>IF(OR(A183&amp;""="",NOT(ISNUMBER(F183))),"",'الإعدادات'!$B$4-F183)</f>
        <v/>
      </c>
      <c r="M183" s="19">
        <f>IF(OR(J183="متأخرة",J183="اليوم"),COUNTIFS($J$6:$J$505,"متأخرة",$E$6:$E$505,"&lt;"&amp;E183)+COUNTIFS($J$6:$J$505,"اليوم",$E$6:$E$505,"&lt;"&amp;E183)+COUNTIFS($E$6:E183,E183&amp;"",$J$6:J183,J183),"")</f>
        <v/>
      </c>
    </row>
    <row r="184">
      <c r="A184" s="5" t="n"/>
      <c r="B184" s="5" t="n"/>
      <c r="C184" s="5" t="n"/>
      <c r="D184" s="16" t="n"/>
      <c r="E184" s="13" t="n"/>
      <c r="F184" s="13" t="n"/>
      <c r="G184" s="5" t="n"/>
      <c r="H184" s="17">
        <f>IF(C184&amp;""="","",IFERROR(VLOOKUP(C184,'الإعدادات'!$A$8:$B$13,2,FALSE),""))</f>
        <v/>
      </c>
      <c r="I184" s="18">
        <f>IF(OR(H184="",NOT(ISNUMBER(D184))),"",ROUND(D184*H184,2))</f>
        <v/>
      </c>
      <c r="J184" s="6">
        <f>IF(A184&amp;""="","",IF(OR(C184="تم",C184="خسارة"),"مغلقة",IF(NOT(ISNUMBER(E184)),"بلا موعد",IF(E184&lt;'الإعدادات'!$B$4,"متأخرة",IF(E184='الإعدادات'!$B$4,"اليوم","قادمة")))))</f>
        <v/>
      </c>
      <c r="K184" s="19">
        <f>IF(OR(J184="متأخرة",J184="اليوم"),'الإعدادات'!$B$4-E184,"")</f>
        <v/>
      </c>
      <c r="L184" s="19">
        <f>IF(OR(A184&amp;""="",NOT(ISNUMBER(F184))),"",'الإعدادات'!$B$4-F184)</f>
        <v/>
      </c>
      <c r="M184" s="19">
        <f>IF(OR(J184="متأخرة",J184="اليوم"),COUNTIFS($J$6:$J$505,"متأخرة",$E$6:$E$505,"&lt;"&amp;E184)+COUNTIFS($J$6:$J$505,"اليوم",$E$6:$E$505,"&lt;"&amp;E184)+COUNTIFS($E$6:E184,E184&amp;"",$J$6:J184,J184),"")</f>
        <v/>
      </c>
    </row>
    <row r="185">
      <c r="A185" s="5" t="n"/>
      <c r="B185" s="5" t="n"/>
      <c r="C185" s="5" t="n"/>
      <c r="D185" s="16" t="n"/>
      <c r="E185" s="13" t="n"/>
      <c r="F185" s="13" t="n"/>
      <c r="G185" s="5" t="n"/>
      <c r="H185" s="17">
        <f>IF(C185&amp;""="","",IFERROR(VLOOKUP(C185,'الإعدادات'!$A$8:$B$13,2,FALSE),""))</f>
        <v/>
      </c>
      <c r="I185" s="18">
        <f>IF(OR(H185="",NOT(ISNUMBER(D185))),"",ROUND(D185*H185,2))</f>
        <v/>
      </c>
      <c r="J185" s="6">
        <f>IF(A185&amp;""="","",IF(OR(C185="تم",C185="خسارة"),"مغلقة",IF(NOT(ISNUMBER(E185)),"بلا موعد",IF(E185&lt;'الإعدادات'!$B$4,"متأخرة",IF(E185='الإعدادات'!$B$4,"اليوم","قادمة")))))</f>
        <v/>
      </c>
      <c r="K185" s="19">
        <f>IF(OR(J185="متأخرة",J185="اليوم"),'الإعدادات'!$B$4-E185,"")</f>
        <v/>
      </c>
      <c r="L185" s="19">
        <f>IF(OR(A185&amp;""="",NOT(ISNUMBER(F185))),"",'الإعدادات'!$B$4-F185)</f>
        <v/>
      </c>
      <c r="M185" s="19">
        <f>IF(OR(J185="متأخرة",J185="اليوم"),COUNTIFS($J$6:$J$505,"متأخرة",$E$6:$E$505,"&lt;"&amp;E185)+COUNTIFS($J$6:$J$505,"اليوم",$E$6:$E$505,"&lt;"&amp;E185)+COUNTIFS($E$6:E185,E185&amp;"",$J$6:J185,J185),"")</f>
        <v/>
      </c>
    </row>
    <row r="186">
      <c r="A186" s="5" t="n"/>
      <c r="B186" s="5" t="n"/>
      <c r="C186" s="5" t="n"/>
      <c r="D186" s="16" t="n"/>
      <c r="E186" s="13" t="n"/>
      <c r="F186" s="13" t="n"/>
      <c r="G186" s="5" t="n"/>
      <c r="H186" s="17">
        <f>IF(C186&amp;""="","",IFERROR(VLOOKUP(C186,'الإعدادات'!$A$8:$B$13,2,FALSE),""))</f>
        <v/>
      </c>
      <c r="I186" s="18">
        <f>IF(OR(H186="",NOT(ISNUMBER(D186))),"",ROUND(D186*H186,2))</f>
        <v/>
      </c>
      <c r="J186" s="6">
        <f>IF(A186&amp;""="","",IF(OR(C186="تم",C186="خسارة"),"مغلقة",IF(NOT(ISNUMBER(E186)),"بلا موعد",IF(E186&lt;'الإعدادات'!$B$4,"متأخرة",IF(E186='الإعدادات'!$B$4,"اليوم","قادمة")))))</f>
        <v/>
      </c>
      <c r="K186" s="19">
        <f>IF(OR(J186="متأخرة",J186="اليوم"),'الإعدادات'!$B$4-E186,"")</f>
        <v/>
      </c>
      <c r="L186" s="19">
        <f>IF(OR(A186&amp;""="",NOT(ISNUMBER(F186))),"",'الإعدادات'!$B$4-F186)</f>
        <v/>
      </c>
      <c r="M186" s="19">
        <f>IF(OR(J186="متأخرة",J186="اليوم"),COUNTIFS($J$6:$J$505,"متأخرة",$E$6:$E$505,"&lt;"&amp;E186)+COUNTIFS($J$6:$J$505,"اليوم",$E$6:$E$505,"&lt;"&amp;E186)+COUNTIFS($E$6:E186,E186&amp;"",$J$6:J186,J186),"")</f>
        <v/>
      </c>
    </row>
    <row r="187">
      <c r="A187" s="5" t="n"/>
      <c r="B187" s="5" t="n"/>
      <c r="C187" s="5" t="n"/>
      <c r="D187" s="16" t="n"/>
      <c r="E187" s="13" t="n"/>
      <c r="F187" s="13" t="n"/>
      <c r="G187" s="5" t="n"/>
      <c r="H187" s="17">
        <f>IF(C187&amp;""="","",IFERROR(VLOOKUP(C187,'الإعدادات'!$A$8:$B$13,2,FALSE),""))</f>
        <v/>
      </c>
      <c r="I187" s="18">
        <f>IF(OR(H187="",NOT(ISNUMBER(D187))),"",ROUND(D187*H187,2))</f>
        <v/>
      </c>
      <c r="J187" s="6">
        <f>IF(A187&amp;""="","",IF(OR(C187="تم",C187="خسارة"),"مغلقة",IF(NOT(ISNUMBER(E187)),"بلا موعد",IF(E187&lt;'الإعدادات'!$B$4,"متأخرة",IF(E187='الإعدادات'!$B$4,"اليوم","قادمة")))))</f>
        <v/>
      </c>
      <c r="K187" s="19">
        <f>IF(OR(J187="متأخرة",J187="اليوم"),'الإعدادات'!$B$4-E187,"")</f>
        <v/>
      </c>
      <c r="L187" s="19">
        <f>IF(OR(A187&amp;""="",NOT(ISNUMBER(F187))),"",'الإعدادات'!$B$4-F187)</f>
        <v/>
      </c>
      <c r="M187" s="19">
        <f>IF(OR(J187="متأخرة",J187="اليوم"),COUNTIFS($J$6:$J$505,"متأخرة",$E$6:$E$505,"&lt;"&amp;E187)+COUNTIFS($J$6:$J$505,"اليوم",$E$6:$E$505,"&lt;"&amp;E187)+COUNTIFS($E$6:E187,E187&amp;"",$J$6:J187,J187),"")</f>
        <v/>
      </c>
    </row>
    <row r="188">
      <c r="A188" s="5" t="n"/>
      <c r="B188" s="5" t="n"/>
      <c r="C188" s="5" t="n"/>
      <c r="D188" s="16" t="n"/>
      <c r="E188" s="13" t="n"/>
      <c r="F188" s="13" t="n"/>
      <c r="G188" s="5" t="n"/>
      <c r="H188" s="17">
        <f>IF(C188&amp;""="","",IFERROR(VLOOKUP(C188,'الإعدادات'!$A$8:$B$13,2,FALSE),""))</f>
        <v/>
      </c>
      <c r="I188" s="18">
        <f>IF(OR(H188="",NOT(ISNUMBER(D188))),"",ROUND(D188*H188,2))</f>
        <v/>
      </c>
      <c r="J188" s="6">
        <f>IF(A188&amp;""="","",IF(OR(C188="تم",C188="خسارة"),"مغلقة",IF(NOT(ISNUMBER(E188)),"بلا موعد",IF(E188&lt;'الإعدادات'!$B$4,"متأخرة",IF(E188='الإعدادات'!$B$4,"اليوم","قادمة")))))</f>
        <v/>
      </c>
      <c r="K188" s="19">
        <f>IF(OR(J188="متأخرة",J188="اليوم"),'الإعدادات'!$B$4-E188,"")</f>
        <v/>
      </c>
      <c r="L188" s="19">
        <f>IF(OR(A188&amp;""="",NOT(ISNUMBER(F188))),"",'الإعدادات'!$B$4-F188)</f>
        <v/>
      </c>
      <c r="M188" s="19">
        <f>IF(OR(J188="متأخرة",J188="اليوم"),COUNTIFS($J$6:$J$505,"متأخرة",$E$6:$E$505,"&lt;"&amp;E188)+COUNTIFS($J$6:$J$505,"اليوم",$E$6:$E$505,"&lt;"&amp;E188)+COUNTIFS($E$6:E188,E188&amp;"",$J$6:J188,J188),"")</f>
        <v/>
      </c>
    </row>
    <row r="189">
      <c r="A189" s="5" t="n"/>
      <c r="B189" s="5" t="n"/>
      <c r="C189" s="5" t="n"/>
      <c r="D189" s="16" t="n"/>
      <c r="E189" s="13" t="n"/>
      <c r="F189" s="13" t="n"/>
      <c r="G189" s="5" t="n"/>
      <c r="H189" s="17">
        <f>IF(C189&amp;""="","",IFERROR(VLOOKUP(C189,'الإعدادات'!$A$8:$B$13,2,FALSE),""))</f>
        <v/>
      </c>
      <c r="I189" s="18">
        <f>IF(OR(H189="",NOT(ISNUMBER(D189))),"",ROUND(D189*H189,2))</f>
        <v/>
      </c>
      <c r="J189" s="6">
        <f>IF(A189&amp;""="","",IF(OR(C189="تم",C189="خسارة"),"مغلقة",IF(NOT(ISNUMBER(E189)),"بلا موعد",IF(E189&lt;'الإعدادات'!$B$4,"متأخرة",IF(E189='الإعدادات'!$B$4,"اليوم","قادمة")))))</f>
        <v/>
      </c>
      <c r="K189" s="19">
        <f>IF(OR(J189="متأخرة",J189="اليوم"),'الإعدادات'!$B$4-E189,"")</f>
        <v/>
      </c>
      <c r="L189" s="19">
        <f>IF(OR(A189&amp;""="",NOT(ISNUMBER(F189))),"",'الإعدادات'!$B$4-F189)</f>
        <v/>
      </c>
      <c r="M189" s="19">
        <f>IF(OR(J189="متأخرة",J189="اليوم"),COUNTIFS($J$6:$J$505,"متأخرة",$E$6:$E$505,"&lt;"&amp;E189)+COUNTIFS($J$6:$J$505,"اليوم",$E$6:$E$505,"&lt;"&amp;E189)+COUNTIFS($E$6:E189,E189&amp;"",$J$6:J189,J189),"")</f>
        <v/>
      </c>
    </row>
    <row r="190">
      <c r="A190" s="5" t="n"/>
      <c r="B190" s="5" t="n"/>
      <c r="C190" s="5" t="n"/>
      <c r="D190" s="16" t="n"/>
      <c r="E190" s="13" t="n"/>
      <c r="F190" s="13" t="n"/>
      <c r="G190" s="5" t="n"/>
      <c r="H190" s="17">
        <f>IF(C190&amp;""="","",IFERROR(VLOOKUP(C190,'الإعدادات'!$A$8:$B$13,2,FALSE),""))</f>
        <v/>
      </c>
      <c r="I190" s="18">
        <f>IF(OR(H190="",NOT(ISNUMBER(D190))),"",ROUND(D190*H190,2))</f>
        <v/>
      </c>
      <c r="J190" s="6">
        <f>IF(A190&amp;""="","",IF(OR(C190="تم",C190="خسارة"),"مغلقة",IF(NOT(ISNUMBER(E190)),"بلا موعد",IF(E190&lt;'الإعدادات'!$B$4,"متأخرة",IF(E190='الإعدادات'!$B$4,"اليوم","قادمة")))))</f>
        <v/>
      </c>
      <c r="K190" s="19">
        <f>IF(OR(J190="متأخرة",J190="اليوم"),'الإعدادات'!$B$4-E190,"")</f>
        <v/>
      </c>
      <c r="L190" s="19">
        <f>IF(OR(A190&amp;""="",NOT(ISNUMBER(F190))),"",'الإعدادات'!$B$4-F190)</f>
        <v/>
      </c>
      <c r="M190" s="19">
        <f>IF(OR(J190="متأخرة",J190="اليوم"),COUNTIFS($J$6:$J$505,"متأخرة",$E$6:$E$505,"&lt;"&amp;E190)+COUNTIFS($J$6:$J$505,"اليوم",$E$6:$E$505,"&lt;"&amp;E190)+COUNTIFS($E$6:E190,E190&amp;"",$J$6:J190,J190),"")</f>
        <v/>
      </c>
    </row>
    <row r="191">
      <c r="A191" s="5" t="n"/>
      <c r="B191" s="5" t="n"/>
      <c r="C191" s="5" t="n"/>
      <c r="D191" s="16" t="n"/>
      <c r="E191" s="13" t="n"/>
      <c r="F191" s="13" t="n"/>
      <c r="G191" s="5" t="n"/>
      <c r="H191" s="17">
        <f>IF(C191&amp;""="","",IFERROR(VLOOKUP(C191,'الإعدادات'!$A$8:$B$13,2,FALSE),""))</f>
        <v/>
      </c>
      <c r="I191" s="18">
        <f>IF(OR(H191="",NOT(ISNUMBER(D191))),"",ROUND(D191*H191,2))</f>
        <v/>
      </c>
      <c r="J191" s="6">
        <f>IF(A191&amp;""="","",IF(OR(C191="تم",C191="خسارة"),"مغلقة",IF(NOT(ISNUMBER(E191)),"بلا موعد",IF(E191&lt;'الإعدادات'!$B$4,"متأخرة",IF(E191='الإعدادات'!$B$4,"اليوم","قادمة")))))</f>
        <v/>
      </c>
      <c r="K191" s="19">
        <f>IF(OR(J191="متأخرة",J191="اليوم"),'الإعدادات'!$B$4-E191,"")</f>
        <v/>
      </c>
      <c r="L191" s="19">
        <f>IF(OR(A191&amp;""="",NOT(ISNUMBER(F191))),"",'الإعدادات'!$B$4-F191)</f>
        <v/>
      </c>
      <c r="M191" s="19">
        <f>IF(OR(J191="متأخرة",J191="اليوم"),COUNTIFS($J$6:$J$505,"متأخرة",$E$6:$E$505,"&lt;"&amp;E191)+COUNTIFS($J$6:$J$505,"اليوم",$E$6:$E$505,"&lt;"&amp;E191)+COUNTIFS($E$6:E191,E191&amp;"",$J$6:J191,J191),"")</f>
        <v/>
      </c>
    </row>
    <row r="192">
      <c r="A192" s="5" t="n"/>
      <c r="B192" s="5" t="n"/>
      <c r="C192" s="5" t="n"/>
      <c r="D192" s="16" t="n"/>
      <c r="E192" s="13" t="n"/>
      <c r="F192" s="13" t="n"/>
      <c r="G192" s="5" t="n"/>
      <c r="H192" s="17">
        <f>IF(C192&amp;""="","",IFERROR(VLOOKUP(C192,'الإعدادات'!$A$8:$B$13,2,FALSE),""))</f>
        <v/>
      </c>
      <c r="I192" s="18">
        <f>IF(OR(H192="",NOT(ISNUMBER(D192))),"",ROUND(D192*H192,2))</f>
        <v/>
      </c>
      <c r="J192" s="6">
        <f>IF(A192&amp;""="","",IF(OR(C192="تم",C192="خسارة"),"مغلقة",IF(NOT(ISNUMBER(E192)),"بلا موعد",IF(E192&lt;'الإعدادات'!$B$4,"متأخرة",IF(E192='الإعدادات'!$B$4,"اليوم","قادمة")))))</f>
        <v/>
      </c>
      <c r="K192" s="19">
        <f>IF(OR(J192="متأخرة",J192="اليوم"),'الإعدادات'!$B$4-E192,"")</f>
        <v/>
      </c>
      <c r="L192" s="19">
        <f>IF(OR(A192&amp;""="",NOT(ISNUMBER(F192))),"",'الإعدادات'!$B$4-F192)</f>
        <v/>
      </c>
      <c r="M192" s="19">
        <f>IF(OR(J192="متأخرة",J192="اليوم"),COUNTIFS($J$6:$J$505,"متأخرة",$E$6:$E$505,"&lt;"&amp;E192)+COUNTIFS($J$6:$J$505,"اليوم",$E$6:$E$505,"&lt;"&amp;E192)+COUNTIFS($E$6:E192,E192&amp;"",$J$6:J192,J192),"")</f>
        <v/>
      </c>
    </row>
    <row r="193">
      <c r="A193" s="5" t="n"/>
      <c r="B193" s="5" t="n"/>
      <c r="C193" s="5" t="n"/>
      <c r="D193" s="16" t="n"/>
      <c r="E193" s="13" t="n"/>
      <c r="F193" s="13" t="n"/>
      <c r="G193" s="5" t="n"/>
      <c r="H193" s="17">
        <f>IF(C193&amp;""="","",IFERROR(VLOOKUP(C193,'الإعدادات'!$A$8:$B$13,2,FALSE),""))</f>
        <v/>
      </c>
      <c r="I193" s="18">
        <f>IF(OR(H193="",NOT(ISNUMBER(D193))),"",ROUND(D193*H193,2))</f>
        <v/>
      </c>
      <c r="J193" s="6">
        <f>IF(A193&amp;""="","",IF(OR(C193="تم",C193="خسارة"),"مغلقة",IF(NOT(ISNUMBER(E193)),"بلا موعد",IF(E193&lt;'الإعدادات'!$B$4,"متأخرة",IF(E193='الإعدادات'!$B$4,"اليوم","قادمة")))))</f>
        <v/>
      </c>
      <c r="K193" s="19">
        <f>IF(OR(J193="متأخرة",J193="اليوم"),'الإعدادات'!$B$4-E193,"")</f>
        <v/>
      </c>
      <c r="L193" s="19">
        <f>IF(OR(A193&amp;""="",NOT(ISNUMBER(F193))),"",'الإعدادات'!$B$4-F193)</f>
        <v/>
      </c>
      <c r="M193" s="19">
        <f>IF(OR(J193="متأخرة",J193="اليوم"),COUNTIFS($J$6:$J$505,"متأخرة",$E$6:$E$505,"&lt;"&amp;E193)+COUNTIFS($J$6:$J$505,"اليوم",$E$6:$E$505,"&lt;"&amp;E193)+COUNTIFS($E$6:E193,E193&amp;"",$J$6:J193,J193),"")</f>
        <v/>
      </c>
    </row>
    <row r="194">
      <c r="A194" s="5" t="n"/>
      <c r="B194" s="5" t="n"/>
      <c r="C194" s="5" t="n"/>
      <c r="D194" s="16" t="n"/>
      <c r="E194" s="13" t="n"/>
      <c r="F194" s="13" t="n"/>
      <c r="G194" s="5" t="n"/>
      <c r="H194" s="17">
        <f>IF(C194&amp;""="","",IFERROR(VLOOKUP(C194,'الإعدادات'!$A$8:$B$13,2,FALSE),""))</f>
        <v/>
      </c>
      <c r="I194" s="18">
        <f>IF(OR(H194="",NOT(ISNUMBER(D194))),"",ROUND(D194*H194,2))</f>
        <v/>
      </c>
      <c r="J194" s="6">
        <f>IF(A194&amp;""="","",IF(OR(C194="تم",C194="خسارة"),"مغلقة",IF(NOT(ISNUMBER(E194)),"بلا موعد",IF(E194&lt;'الإعدادات'!$B$4,"متأخرة",IF(E194='الإعدادات'!$B$4,"اليوم","قادمة")))))</f>
        <v/>
      </c>
      <c r="K194" s="19">
        <f>IF(OR(J194="متأخرة",J194="اليوم"),'الإعدادات'!$B$4-E194,"")</f>
        <v/>
      </c>
      <c r="L194" s="19">
        <f>IF(OR(A194&amp;""="",NOT(ISNUMBER(F194))),"",'الإعدادات'!$B$4-F194)</f>
        <v/>
      </c>
      <c r="M194" s="19">
        <f>IF(OR(J194="متأخرة",J194="اليوم"),COUNTIFS($J$6:$J$505,"متأخرة",$E$6:$E$505,"&lt;"&amp;E194)+COUNTIFS($J$6:$J$505,"اليوم",$E$6:$E$505,"&lt;"&amp;E194)+COUNTIFS($E$6:E194,E194&amp;"",$J$6:J194,J194),"")</f>
        <v/>
      </c>
    </row>
    <row r="195">
      <c r="A195" s="5" t="n"/>
      <c r="B195" s="5" t="n"/>
      <c r="C195" s="5" t="n"/>
      <c r="D195" s="16" t="n"/>
      <c r="E195" s="13" t="n"/>
      <c r="F195" s="13" t="n"/>
      <c r="G195" s="5" t="n"/>
      <c r="H195" s="17">
        <f>IF(C195&amp;""="","",IFERROR(VLOOKUP(C195,'الإعدادات'!$A$8:$B$13,2,FALSE),""))</f>
        <v/>
      </c>
      <c r="I195" s="18">
        <f>IF(OR(H195="",NOT(ISNUMBER(D195))),"",ROUND(D195*H195,2))</f>
        <v/>
      </c>
      <c r="J195" s="6">
        <f>IF(A195&amp;""="","",IF(OR(C195="تم",C195="خسارة"),"مغلقة",IF(NOT(ISNUMBER(E195)),"بلا موعد",IF(E195&lt;'الإعدادات'!$B$4,"متأخرة",IF(E195='الإعدادات'!$B$4,"اليوم","قادمة")))))</f>
        <v/>
      </c>
      <c r="K195" s="19">
        <f>IF(OR(J195="متأخرة",J195="اليوم"),'الإعدادات'!$B$4-E195,"")</f>
        <v/>
      </c>
      <c r="L195" s="19">
        <f>IF(OR(A195&amp;""="",NOT(ISNUMBER(F195))),"",'الإعدادات'!$B$4-F195)</f>
        <v/>
      </c>
      <c r="M195" s="19">
        <f>IF(OR(J195="متأخرة",J195="اليوم"),COUNTIFS($J$6:$J$505,"متأخرة",$E$6:$E$505,"&lt;"&amp;E195)+COUNTIFS($J$6:$J$505,"اليوم",$E$6:$E$505,"&lt;"&amp;E195)+COUNTIFS($E$6:E195,E195&amp;"",$J$6:J195,J195),"")</f>
        <v/>
      </c>
    </row>
    <row r="196">
      <c r="A196" s="5" t="n"/>
      <c r="B196" s="5" t="n"/>
      <c r="C196" s="5" t="n"/>
      <c r="D196" s="16" t="n"/>
      <c r="E196" s="13" t="n"/>
      <c r="F196" s="13" t="n"/>
      <c r="G196" s="5" t="n"/>
      <c r="H196" s="17">
        <f>IF(C196&amp;""="","",IFERROR(VLOOKUP(C196,'الإعدادات'!$A$8:$B$13,2,FALSE),""))</f>
        <v/>
      </c>
      <c r="I196" s="18">
        <f>IF(OR(H196="",NOT(ISNUMBER(D196))),"",ROUND(D196*H196,2))</f>
        <v/>
      </c>
      <c r="J196" s="6">
        <f>IF(A196&amp;""="","",IF(OR(C196="تم",C196="خسارة"),"مغلقة",IF(NOT(ISNUMBER(E196)),"بلا موعد",IF(E196&lt;'الإعدادات'!$B$4,"متأخرة",IF(E196='الإعدادات'!$B$4,"اليوم","قادمة")))))</f>
        <v/>
      </c>
      <c r="K196" s="19">
        <f>IF(OR(J196="متأخرة",J196="اليوم"),'الإعدادات'!$B$4-E196,"")</f>
        <v/>
      </c>
      <c r="L196" s="19">
        <f>IF(OR(A196&amp;""="",NOT(ISNUMBER(F196))),"",'الإعدادات'!$B$4-F196)</f>
        <v/>
      </c>
      <c r="M196" s="19">
        <f>IF(OR(J196="متأخرة",J196="اليوم"),COUNTIFS($J$6:$J$505,"متأخرة",$E$6:$E$505,"&lt;"&amp;E196)+COUNTIFS($J$6:$J$505,"اليوم",$E$6:$E$505,"&lt;"&amp;E196)+COUNTIFS($E$6:E196,E196&amp;"",$J$6:J196,J196),"")</f>
        <v/>
      </c>
    </row>
    <row r="197">
      <c r="A197" s="5" t="n"/>
      <c r="B197" s="5" t="n"/>
      <c r="C197" s="5" t="n"/>
      <c r="D197" s="16" t="n"/>
      <c r="E197" s="13" t="n"/>
      <c r="F197" s="13" t="n"/>
      <c r="G197" s="5" t="n"/>
      <c r="H197" s="17">
        <f>IF(C197&amp;""="","",IFERROR(VLOOKUP(C197,'الإعدادات'!$A$8:$B$13,2,FALSE),""))</f>
        <v/>
      </c>
      <c r="I197" s="18">
        <f>IF(OR(H197="",NOT(ISNUMBER(D197))),"",ROUND(D197*H197,2))</f>
        <v/>
      </c>
      <c r="J197" s="6">
        <f>IF(A197&amp;""="","",IF(OR(C197="تم",C197="خسارة"),"مغلقة",IF(NOT(ISNUMBER(E197)),"بلا موعد",IF(E197&lt;'الإعدادات'!$B$4,"متأخرة",IF(E197='الإعدادات'!$B$4,"اليوم","قادمة")))))</f>
        <v/>
      </c>
      <c r="K197" s="19">
        <f>IF(OR(J197="متأخرة",J197="اليوم"),'الإعدادات'!$B$4-E197,"")</f>
        <v/>
      </c>
      <c r="L197" s="19">
        <f>IF(OR(A197&amp;""="",NOT(ISNUMBER(F197))),"",'الإعدادات'!$B$4-F197)</f>
        <v/>
      </c>
      <c r="M197" s="19">
        <f>IF(OR(J197="متأخرة",J197="اليوم"),COUNTIFS($J$6:$J$505,"متأخرة",$E$6:$E$505,"&lt;"&amp;E197)+COUNTIFS($J$6:$J$505,"اليوم",$E$6:$E$505,"&lt;"&amp;E197)+COUNTIFS($E$6:E197,E197&amp;"",$J$6:J197,J197),"")</f>
        <v/>
      </c>
    </row>
    <row r="198">
      <c r="A198" s="5" t="n"/>
      <c r="B198" s="5" t="n"/>
      <c r="C198" s="5" t="n"/>
      <c r="D198" s="16" t="n"/>
      <c r="E198" s="13" t="n"/>
      <c r="F198" s="13" t="n"/>
      <c r="G198" s="5" t="n"/>
      <c r="H198" s="17">
        <f>IF(C198&amp;""="","",IFERROR(VLOOKUP(C198,'الإعدادات'!$A$8:$B$13,2,FALSE),""))</f>
        <v/>
      </c>
      <c r="I198" s="18">
        <f>IF(OR(H198="",NOT(ISNUMBER(D198))),"",ROUND(D198*H198,2))</f>
        <v/>
      </c>
      <c r="J198" s="6">
        <f>IF(A198&amp;""="","",IF(OR(C198="تم",C198="خسارة"),"مغلقة",IF(NOT(ISNUMBER(E198)),"بلا موعد",IF(E198&lt;'الإعدادات'!$B$4,"متأخرة",IF(E198='الإعدادات'!$B$4,"اليوم","قادمة")))))</f>
        <v/>
      </c>
      <c r="K198" s="19">
        <f>IF(OR(J198="متأخرة",J198="اليوم"),'الإعدادات'!$B$4-E198,"")</f>
        <v/>
      </c>
      <c r="L198" s="19">
        <f>IF(OR(A198&amp;""="",NOT(ISNUMBER(F198))),"",'الإعدادات'!$B$4-F198)</f>
        <v/>
      </c>
      <c r="M198" s="19">
        <f>IF(OR(J198="متأخرة",J198="اليوم"),COUNTIFS($J$6:$J$505,"متأخرة",$E$6:$E$505,"&lt;"&amp;E198)+COUNTIFS($J$6:$J$505,"اليوم",$E$6:$E$505,"&lt;"&amp;E198)+COUNTIFS($E$6:E198,E198&amp;"",$J$6:J198,J198),"")</f>
        <v/>
      </c>
    </row>
    <row r="199">
      <c r="A199" s="5" t="n"/>
      <c r="B199" s="5" t="n"/>
      <c r="C199" s="5" t="n"/>
      <c r="D199" s="16" t="n"/>
      <c r="E199" s="13" t="n"/>
      <c r="F199" s="13" t="n"/>
      <c r="G199" s="5" t="n"/>
      <c r="H199" s="17">
        <f>IF(C199&amp;""="","",IFERROR(VLOOKUP(C199,'الإعدادات'!$A$8:$B$13,2,FALSE),""))</f>
        <v/>
      </c>
      <c r="I199" s="18">
        <f>IF(OR(H199="",NOT(ISNUMBER(D199))),"",ROUND(D199*H199,2))</f>
        <v/>
      </c>
      <c r="J199" s="6">
        <f>IF(A199&amp;""="","",IF(OR(C199="تم",C199="خسارة"),"مغلقة",IF(NOT(ISNUMBER(E199)),"بلا موعد",IF(E199&lt;'الإعدادات'!$B$4,"متأخرة",IF(E199='الإعدادات'!$B$4,"اليوم","قادمة")))))</f>
        <v/>
      </c>
      <c r="K199" s="19">
        <f>IF(OR(J199="متأخرة",J199="اليوم"),'الإعدادات'!$B$4-E199,"")</f>
        <v/>
      </c>
      <c r="L199" s="19">
        <f>IF(OR(A199&amp;""="",NOT(ISNUMBER(F199))),"",'الإعدادات'!$B$4-F199)</f>
        <v/>
      </c>
      <c r="M199" s="19">
        <f>IF(OR(J199="متأخرة",J199="اليوم"),COUNTIFS($J$6:$J$505,"متأخرة",$E$6:$E$505,"&lt;"&amp;E199)+COUNTIFS($J$6:$J$505,"اليوم",$E$6:$E$505,"&lt;"&amp;E199)+COUNTIFS($E$6:E199,E199&amp;"",$J$6:J199,J199),"")</f>
        <v/>
      </c>
    </row>
    <row r="200">
      <c r="A200" s="5" t="n"/>
      <c r="B200" s="5" t="n"/>
      <c r="C200" s="5" t="n"/>
      <c r="D200" s="16" t="n"/>
      <c r="E200" s="13" t="n"/>
      <c r="F200" s="13" t="n"/>
      <c r="G200" s="5" t="n"/>
      <c r="H200" s="17">
        <f>IF(C200&amp;""="","",IFERROR(VLOOKUP(C200,'الإعدادات'!$A$8:$B$13,2,FALSE),""))</f>
        <v/>
      </c>
      <c r="I200" s="18">
        <f>IF(OR(H200="",NOT(ISNUMBER(D200))),"",ROUND(D200*H200,2))</f>
        <v/>
      </c>
      <c r="J200" s="6">
        <f>IF(A200&amp;""="","",IF(OR(C200="تم",C200="خسارة"),"مغلقة",IF(NOT(ISNUMBER(E200)),"بلا موعد",IF(E200&lt;'الإعدادات'!$B$4,"متأخرة",IF(E200='الإعدادات'!$B$4,"اليوم","قادمة")))))</f>
        <v/>
      </c>
      <c r="K200" s="19">
        <f>IF(OR(J200="متأخرة",J200="اليوم"),'الإعدادات'!$B$4-E200,"")</f>
        <v/>
      </c>
      <c r="L200" s="19">
        <f>IF(OR(A200&amp;""="",NOT(ISNUMBER(F200))),"",'الإعدادات'!$B$4-F200)</f>
        <v/>
      </c>
      <c r="M200" s="19">
        <f>IF(OR(J200="متأخرة",J200="اليوم"),COUNTIFS($J$6:$J$505,"متأخرة",$E$6:$E$505,"&lt;"&amp;E200)+COUNTIFS($J$6:$J$505,"اليوم",$E$6:$E$505,"&lt;"&amp;E200)+COUNTIFS($E$6:E200,E200&amp;"",$J$6:J200,J200),"")</f>
        <v/>
      </c>
    </row>
    <row r="201">
      <c r="A201" s="5" t="n"/>
      <c r="B201" s="5" t="n"/>
      <c r="C201" s="5" t="n"/>
      <c r="D201" s="16" t="n"/>
      <c r="E201" s="13" t="n"/>
      <c r="F201" s="13" t="n"/>
      <c r="G201" s="5" t="n"/>
      <c r="H201" s="17">
        <f>IF(C201&amp;""="","",IFERROR(VLOOKUP(C201,'الإعدادات'!$A$8:$B$13,2,FALSE),""))</f>
        <v/>
      </c>
      <c r="I201" s="18">
        <f>IF(OR(H201="",NOT(ISNUMBER(D201))),"",ROUND(D201*H201,2))</f>
        <v/>
      </c>
      <c r="J201" s="6">
        <f>IF(A201&amp;""="","",IF(OR(C201="تم",C201="خسارة"),"مغلقة",IF(NOT(ISNUMBER(E201)),"بلا موعد",IF(E201&lt;'الإعدادات'!$B$4,"متأخرة",IF(E201='الإعدادات'!$B$4,"اليوم","قادمة")))))</f>
        <v/>
      </c>
      <c r="K201" s="19">
        <f>IF(OR(J201="متأخرة",J201="اليوم"),'الإعدادات'!$B$4-E201,"")</f>
        <v/>
      </c>
      <c r="L201" s="19">
        <f>IF(OR(A201&amp;""="",NOT(ISNUMBER(F201))),"",'الإعدادات'!$B$4-F201)</f>
        <v/>
      </c>
      <c r="M201" s="19">
        <f>IF(OR(J201="متأخرة",J201="اليوم"),COUNTIFS($J$6:$J$505,"متأخرة",$E$6:$E$505,"&lt;"&amp;E201)+COUNTIFS($J$6:$J$505,"اليوم",$E$6:$E$505,"&lt;"&amp;E201)+COUNTIFS($E$6:E201,E201&amp;"",$J$6:J201,J201),"")</f>
        <v/>
      </c>
    </row>
    <row r="202">
      <c r="A202" s="5" t="n"/>
      <c r="B202" s="5" t="n"/>
      <c r="C202" s="5" t="n"/>
      <c r="D202" s="16" t="n"/>
      <c r="E202" s="13" t="n"/>
      <c r="F202" s="13" t="n"/>
      <c r="G202" s="5" t="n"/>
      <c r="H202" s="17">
        <f>IF(C202&amp;""="","",IFERROR(VLOOKUP(C202,'الإعدادات'!$A$8:$B$13,2,FALSE),""))</f>
        <v/>
      </c>
      <c r="I202" s="18">
        <f>IF(OR(H202="",NOT(ISNUMBER(D202))),"",ROUND(D202*H202,2))</f>
        <v/>
      </c>
      <c r="J202" s="6">
        <f>IF(A202&amp;""="","",IF(OR(C202="تم",C202="خسارة"),"مغلقة",IF(NOT(ISNUMBER(E202)),"بلا موعد",IF(E202&lt;'الإعدادات'!$B$4,"متأخرة",IF(E202='الإعدادات'!$B$4,"اليوم","قادمة")))))</f>
        <v/>
      </c>
      <c r="K202" s="19">
        <f>IF(OR(J202="متأخرة",J202="اليوم"),'الإعدادات'!$B$4-E202,"")</f>
        <v/>
      </c>
      <c r="L202" s="19">
        <f>IF(OR(A202&amp;""="",NOT(ISNUMBER(F202))),"",'الإعدادات'!$B$4-F202)</f>
        <v/>
      </c>
      <c r="M202" s="19">
        <f>IF(OR(J202="متأخرة",J202="اليوم"),COUNTIFS($J$6:$J$505,"متأخرة",$E$6:$E$505,"&lt;"&amp;E202)+COUNTIFS($J$6:$J$505,"اليوم",$E$6:$E$505,"&lt;"&amp;E202)+COUNTIFS($E$6:E202,E202&amp;"",$J$6:J202,J202),"")</f>
        <v/>
      </c>
    </row>
    <row r="203">
      <c r="A203" s="5" t="n"/>
      <c r="B203" s="5" t="n"/>
      <c r="C203" s="5" t="n"/>
      <c r="D203" s="16" t="n"/>
      <c r="E203" s="13" t="n"/>
      <c r="F203" s="13" t="n"/>
      <c r="G203" s="5" t="n"/>
      <c r="H203" s="17">
        <f>IF(C203&amp;""="","",IFERROR(VLOOKUP(C203,'الإعدادات'!$A$8:$B$13,2,FALSE),""))</f>
        <v/>
      </c>
      <c r="I203" s="18">
        <f>IF(OR(H203="",NOT(ISNUMBER(D203))),"",ROUND(D203*H203,2))</f>
        <v/>
      </c>
      <c r="J203" s="6">
        <f>IF(A203&amp;""="","",IF(OR(C203="تم",C203="خسارة"),"مغلقة",IF(NOT(ISNUMBER(E203)),"بلا موعد",IF(E203&lt;'الإعدادات'!$B$4,"متأخرة",IF(E203='الإعدادات'!$B$4,"اليوم","قادمة")))))</f>
        <v/>
      </c>
      <c r="K203" s="19">
        <f>IF(OR(J203="متأخرة",J203="اليوم"),'الإعدادات'!$B$4-E203,"")</f>
        <v/>
      </c>
      <c r="L203" s="19">
        <f>IF(OR(A203&amp;""="",NOT(ISNUMBER(F203))),"",'الإعدادات'!$B$4-F203)</f>
        <v/>
      </c>
      <c r="M203" s="19">
        <f>IF(OR(J203="متأخرة",J203="اليوم"),COUNTIFS($J$6:$J$505,"متأخرة",$E$6:$E$505,"&lt;"&amp;E203)+COUNTIFS($J$6:$J$505,"اليوم",$E$6:$E$505,"&lt;"&amp;E203)+COUNTIFS($E$6:E203,E203&amp;"",$J$6:J203,J203),"")</f>
        <v/>
      </c>
    </row>
    <row r="204">
      <c r="A204" s="5" t="n"/>
      <c r="B204" s="5" t="n"/>
      <c r="C204" s="5" t="n"/>
      <c r="D204" s="16" t="n"/>
      <c r="E204" s="13" t="n"/>
      <c r="F204" s="13" t="n"/>
      <c r="G204" s="5" t="n"/>
      <c r="H204" s="17">
        <f>IF(C204&amp;""="","",IFERROR(VLOOKUP(C204,'الإعدادات'!$A$8:$B$13,2,FALSE),""))</f>
        <v/>
      </c>
      <c r="I204" s="18">
        <f>IF(OR(H204="",NOT(ISNUMBER(D204))),"",ROUND(D204*H204,2))</f>
        <v/>
      </c>
      <c r="J204" s="6">
        <f>IF(A204&amp;""="","",IF(OR(C204="تم",C204="خسارة"),"مغلقة",IF(NOT(ISNUMBER(E204)),"بلا موعد",IF(E204&lt;'الإعدادات'!$B$4,"متأخرة",IF(E204='الإعدادات'!$B$4,"اليوم","قادمة")))))</f>
        <v/>
      </c>
      <c r="K204" s="19">
        <f>IF(OR(J204="متأخرة",J204="اليوم"),'الإعدادات'!$B$4-E204,"")</f>
        <v/>
      </c>
      <c r="L204" s="19">
        <f>IF(OR(A204&amp;""="",NOT(ISNUMBER(F204))),"",'الإعدادات'!$B$4-F204)</f>
        <v/>
      </c>
      <c r="M204" s="19">
        <f>IF(OR(J204="متأخرة",J204="اليوم"),COUNTIFS($J$6:$J$505,"متأخرة",$E$6:$E$505,"&lt;"&amp;E204)+COUNTIFS($J$6:$J$505,"اليوم",$E$6:$E$505,"&lt;"&amp;E204)+COUNTIFS($E$6:E204,E204&amp;"",$J$6:J204,J204),"")</f>
        <v/>
      </c>
    </row>
    <row r="205">
      <c r="A205" s="5" t="n"/>
      <c r="B205" s="5" t="n"/>
      <c r="C205" s="5" t="n"/>
      <c r="D205" s="16" t="n"/>
      <c r="E205" s="13" t="n"/>
      <c r="F205" s="13" t="n"/>
      <c r="G205" s="5" t="n"/>
      <c r="H205" s="17">
        <f>IF(C205&amp;""="","",IFERROR(VLOOKUP(C205,'الإعدادات'!$A$8:$B$13,2,FALSE),""))</f>
        <v/>
      </c>
      <c r="I205" s="18">
        <f>IF(OR(H205="",NOT(ISNUMBER(D205))),"",ROUND(D205*H205,2))</f>
        <v/>
      </c>
      <c r="J205" s="6">
        <f>IF(A205&amp;""="","",IF(OR(C205="تم",C205="خسارة"),"مغلقة",IF(NOT(ISNUMBER(E205)),"بلا موعد",IF(E205&lt;'الإعدادات'!$B$4,"متأخرة",IF(E205='الإعدادات'!$B$4,"اليوم","قادمة")))))</f>
        <v/>
      </c>
      <c r="K205" s="19">
        <f>IF(OR(J205="متأخرة",J205="اليوم"),'الإعدادات'!$B$4-E205,"")</f>
        <v/>
      </c>
      <c r="L205" s="19">
        <f>IF(OR(A205&amp;""="",NOT(ISNUMBER(F205))),"",'الإعدادات'!$B$4-F205)</f>
        <v/>
      </c>
      <c r="M205" s="19">
        <f>IF(OR(J205="متأخرة",J205="اليوم"),COUNTIFS($J$6:$J$505,"متأخرة",$E$6:$E$505,"&lt;"&amp;E205)+COUNTIFS($J$6:$J$505,"اليوم",$E$6:$E$505,"&lt;"&amp;E205)+COUNTIFS($E$6:E205,E205&amp;"",$J$6:J205,J205),"")</f>
        <v/>
      </c>
    </row>
    <row r="206">
      <c r="A206" s="5" t="n"/>
      <c r="B206" s="5" t="n"/>
      <c r="C206" s="5" t="n"/>
      <c r="D206" s="16" t="n"/>
      <c r="E206" s="13" t="n"/>
      <c r="F206" s="13" t="n"/>
      <c r="G206" s="5" t="n"/>
      <c r="H206" s="17">
        <f>IF(C206&amp;""="","",IFERROR(VLOOKUP(C206,'الإعدادات'!$A$8:$B$13,2,FALSE),""))</f>
        <v/>
      </c>
      <c r="I206" s="18">
        <f>IF(OR(H206="",NOT(ISNUMBER(D206))),"",ROUND(D206*H206,2))</f>
        <v/>
      </c>
      <c r="J206" s="6">
        <f>IF(A206&amp;""="","",IF(OR(C206="تم",C206="خسارة"),"مغلقة",IF(NOT(ISNUMBER(E206)),"بلا موعد",IF(E206&lt;'الإعدادات'!$B$4,"متأخرة",IF(E206='الإعدادات'!$B$4,"اليوم","قادمة")))))</f>
        <v/>
      </c>
      <c r="K206" s="19">
        <f>IF(OR(J206="متأخرة",J206="اليوم"),'الإعدادات'!$B$4-E206,"")</f>
        <v/>
      </c>
      <c r="L206" s="19">
        <f>IF(OR(A206&amp;""="",NOT(ISNUMBER(F206))),"",'الإعدادات'!$B$4-F206)</f>
        <v/>
      </c>
      <c r="M206" s="19">
        <f>IF(OR(J206="متأخرة",J206="اليوم"),COUNTIFS($J$6:$J$505,"متأخرة",$E$6:$E$505,"&lt;"&amp;E206)+COUNTIFS($J$6:$J$505,"اليوم",$E$6:$E$505,"&lt;"&amp;E206)+COUNTIFS($E$6:E206,E206&amp;"",$J$6:J206,J206),"")</f>
        <v/>
      </c>
    </row>
    <row r="207">
      <c r="A207" s="5" t="n"/>
      <c r="B207" s="5" t="n"/>
      <c r="C207" s="5" t="n"/>
      <c r="D207" s="16" t="n"/>
      <c r="E207" s="13" t="n"/>
      <c r="F207" s="13" t="n"/>
      <c r="G207" s="5" t="n"/>
      <c r="H207" s="17">
        <f>IF(C207&amp;""="","",IFERROR(VLOOKUP(C207,'الإعدادات'!$A$8:$B$13,2,FALSE),""))</f>
        <v/>
      </c>
      <c r="I207" s="18">
        <f>IF(OR(H207="",NOT(ISNUMBER(D207))),"",ROUND(D207*H207,2))</f>
        <v/>
      </c>
      <c r="J207" s="6">
        <f>IF(A207&amp;""="","",IF(OR(C207="تم",C207="خسارة"),"مغلقة",IF(NOT(ISNUMBER(E207)),"بلا موعد",IF(E207&lt;'الإعدادات'!$B$4,"متأخرة",IF(E207='الإعدادات'!$B$4,"اليوم","قادمة")))))</f>
        <v/>
      </c>
      <c r="K207" s="19">
        <f>IF(OR(J207="متأخرة",J207="اليوم"),'الإعدادات'!$B$4-E207,"")</f>
        <v/>
      </c>
      <c r="L207" s="19">
        <f>IF(OR(A207&amp;""="",NOT(ISNUMBER(F207))),"",'الإعدادات'!$B$4-F207)</f>
        <v/>
      </c>
      <c r="M207" s="19">
        <f>IF(OR(J207="متأخرة",J207="اليوم"),COUNTIFS($J$6:$J$505,"متأخرة",$E$6:$E$505,"&lt;"&amp;E207)+COUNTIFS($J$6:$J$505,"اليوم",$E$6:$E$505,"&lt;"&amp;E207)+COUNTIFS($E$6:E207,E207&amp;"",$J$6:J207,J207),"")</f>
        <v/>
      </c>
    </row>
    <row r="208">
      <c r="A208" s="5" t="n"/>
      <c r="B208" s="5" t="n"/>
      <c r="C208" s="5" t="n"/>
      <c r="D208" s="16" t="n"/>
      <c r="E208" s="13" t="n"/>
      <c r="F208" s="13" t="n"/>
      <c r="G208" s="5" t="n"/>
      <c r="H208" s="17">
        <f>IF(C208&amp;""="","",IFERROR(VLOOKUP(C208,'الإعدادات'!$A$8:$B$13,2,FALSE),""))</f>
        <v/>
      </c>
      <c r="I208" s="18">
        <f>IF(OR(H208="",NOT(ISNUMBER(D208))),"",ROUND(D208*H208,2))</f>
        <v/>
      </c>
      <c r="J208" s="6">
        <f>IF(A208&amp;""="","",IF(OR(C208="تم",C208="خسارة"),"مغلقة",IF(NOT(ISNUMBER(E208)),"بلا موعد",IF(E208&lt;'الإعدادات'!$B$4,"متأخرة",IF(E208='الإعدادات'!$B$4,"اليوم","قادمة")))))</f>
        <v/>
      </c>
      <c r="K208" s="19">
        <f>IF(OR(J208="متأخرة",J208="اليوم"),'الإعدادات'!$B$4-E208,"")</f>
        <v/>
      </c>
      <c r="L208" s="19">
        <f>IF(OR(A208&amp;""="",NOT(ISNUMBER(F208))),"",'الإعدادات'!$B$4-F208)</f>
        <v/>
      </c>
      <c r="M208" s="19">
        <f>IF(OR(J208="متأخرة",J208="اليوم"),COUNTIFS($J$6:$J$505,"متأخرة",$E$6:$E$505,"&lt;"&amp;E208)+COUNTIFS($J$6:$J$505,"اليوم",$E$6:$E$505,"&lt;"&amp;E208)+COUNTIFS($E$6:E208,E208&amp;"",$J$6:J208,J208),"")</f>
        <v/>
      </c>
    </row>
    <row r="209">
      <c r="A209" s="5" t="n"/>
      <c r="B209" s="5" t="n"/>
      <c r="C209" s="5" t="n"/>
      <c r="D209" s="16" t="n"/>
      <c r="E209" s="13" t="n"/>
      <c r="F209" s="13" t="n"/>
      <c r="G209" s="5" t="n"/>
      <c r="H209" s="17">
        <f>IF(C209&amp;""="","",IFERROR(VLOOKUP(C209,'الإعدادات'!$A$8:$B$13,2,FALSE),""))</f>
        <v/>
      </c>
      <c r="I209" s="18">
        <f>IF(OR(H209="",NOT(ISNUMBER(D209))),"",ROUND(D209*H209,2))</f>
        <v/>
      </c>
      <c r="J209" s="6">
        <f>IF(A209&amp;""="","",IF(OR(C209="تم",C209="خسارة"),"مغلقة",IF(NOT(ISNUMBER(E209)),"بلا موعد",IF(E209&lt;'الإعدادات'!$B$4,"متأخرة",IF(E209='الإعدادات'!$B$4,"اليوم","قادمة")))))</f>
        <v/>
      </c>
      <c r="K209" s="19">
        <f>IF(OR(J209="متأخرة",J209="اليوم"),'الإعدادات'!$B$4-E209,"")</f>
        <v/>
      </c>
      <c r="L209" s="19">
        <f>IF(OR(A209&amp;""="",NOT(ISNUMBER(F209))),"",'الإعدادات'!$B$4-F209)</f>
        <v/>
      </c>
      <c r="M209" s="19">
        <f>IF(OR(J209="متأخرة",J209="اليوم"),COUNTIFS($J$6:$J$505,"متأخرة",$E$6:$E$505,"&lt;"&amp;E209)+COUNTIFS($J$6:$J$505,"اليوم",$E$6:$E$505,"&lt;"&amp;E209)+COUNTIFS($E$6:E209,E209&amp;"",$J$6:J209,J209),"")</f>
        <v/>
      </c>
    </row>
    <row r="210">
      <c r="A210" s="5" t="n"/>
      <c r="B210" s="5" t="n"/>
      <c r="C210" s="5" t="n"/>
      <c r="D210" s="16" t="n"/>
      <c r="E210" s="13" t="n"/>
      <c r="F210" s="13" t="n"/>
      <c r="G210" s="5" t="n"/>
      <c r="H210" s="17">
        <f>IF(C210&amp;""="","",IFERROR(VLOOKUP(C210,'الإعدادات'!$A$8:$B$13,2,FALSE),""))</f>
        <v/>
      </c>
      <c r="I210" s="18">
        <f>IF(OR(H210="",NOT(ISNUMBER(D210))),"",ROUND(D210*H210,2))</f>
        <v/>
      </c>
      <c r="J210" s="6">
        <f>IF(A210&amp;""="","",IF(OR(C210="تم",C210="خسارة"),"مغلقة",IF(NOT(ISNUMBER(E210)),"بلا موعد",IF(E210&lt;'الإعدادات'!$B$4,"متأخرة",IF(E210='الإعدادات'!$B$4,"اليوم","قادمة")))))</f>
        <v/>
      </c>
      <c r="K210" s="19">
        <f>IF(OR(J210="متأخرة",J210="اليوم"),'الإعدادات'!$B$4-E210,"")</f>
        <v/>
      </c>
      <c r="L210" s="19">
        <f>IF(OR(A210&amp;""="",NOT(ISNUMBER(F210))),"",'الإعدادات'!$B$4-F210)</f>
        <v/>
      </c>
      <c r="M210" s="19">
        <f>IF(OR(J210="متأخرة",J210="اليوم"),COUNTIFS($J$6:$J$505,"متأخرة",$E$6:$E$505,"&lt;"&amp;E210)+COUNTIFS($J$6:$J$505,"اليوم",$E$6:$E$505,"&lt;"&amp;E210)+COUNTIFS($E$6:E210,E210&amp;"",$J$6:J210,J210),"")</f>
        <v/>
      </c>
    </row>
    <row r="211">
      <c r="A211" s="5" t="n"/>
      <c r="B211" s="5" t="n"/>
      <c r="C211" s="5" t="n"/>
      <c r="D211" s="16" t="n"/>
      <c r="E211" s="13" t="n"/>
      <c r="F211" s="13" t="n"/>
      <c r="G211" s="5" t="n"/>
      <c r="H211" s="17">
        <f>IF(C211&amp;""="","",IFERROR(VLOOKUP(C211,'الإعدادات'!$A$8:$B$13,2,FALSE),""))</f>
        <v/>
      </c>
      <c r="I211" s="18">
        <f>IF(OR(H211="",NOT(ISNUMBER(D211))),"",ROUND(D211*H211,2))</f>
        <v/>
      </c>
      <c r="J211" s="6">
        <f>IF(A211&amp;""="","",IF(OR(C211="تم",C211="خسارة"),"مغلقة",IF(NOT(ISNUMBER(E211)),"بلا موعد",IF(E211&lt;'الإعدادات'!$B$4,"متأخرة",IF(E211='الإعدادات'!$B$4,"اليوم","قادمة")))))</f>
        <v/>
      </c>
      <c r="K211" s="19">
        <f>IF(OR(J211="متأخرة",J211="اليوم"),'الإعدادات'!$B$4-E211,"")</f>
        <v/>
      </c>
      <c r="L211" s="19">
        <f>IF(OR(A211&amp;""="",NOT(ISNUMBER(F211))),"",'الإعدادات'!$B$4-F211)</f>
        <v/>
      </c>
      <c r="M211" s="19">
        <f>IF(OR(J211="متأخرة",J211="اليوم"),COUNTIFS($J$6:$J$505,"متأخرة",$E$6:$E$505,"&lt;"&amp;E211)+COUNTIFS($J$6:$J$505,"اليوم",$E$6:$E$505,"&lt;"&amp;E211)+COUNTIFS($E$6:E211,E211&amp;"",$J$6:J211,J211),"")</f>
        <v/>
      </c>
    </row>
    <row r="212">
      <c r="A212" s="5" t="n"/>
      <c r="B212" s="5" t="n"/>
      <c r="C212" s="5" t="n"/>
      <c r="D212" s="16" t="n"/>
      <c r="E212" s="13" t="n"/>
      <c r="F212" s="13" t="n"/>
      <c r="G212" s="5" t="n"/>
      <c r="H212" s="17">
        <f>IF(C212&amp;""="","",IFERROR(VLOOKUP(C212,'الإعدادات'!$A$8:$B$13,2,FALSE),""))</f>
        <v/>
      </c>
      <c r="I212" s="18">
        <f>IF(OR(H212="",NOT(ISNUMBER(D212))),"",ROUND(D212*H212,2))</f>
        <v/>
      </c>
      <c r="J212" s="6">
        <f>IF(A212&amp;""="","",IF(OR(C212="تم",C212="خسارة"),"مغلقة",IF(NOT(ISNUMBER(E212)),"بلا موعد",IF(E212&lt;'الإعدادات'!$B$4,"متأخرة",IF(E212='الإعدادات'!$B$4,"اليوم","قادمة")))))</f>
        <v/>
      </c>
      <c r="K212" s="19">
        <f>IF(OR(J212="متأخرة",J212="اليوم"),'الإعدادات'!$B$4-E212,"")</f>
        <v/>
      </c>
      <c r="L212" s="19">
        <f>IF(OR(A212&amp;""="",NOT(ISNUMBER(F212))),"",'الإعدادات'!$B$4-F212)</f>
        <v/>
      </c>
      <c r="M212" s="19">
        <f>IF(OR(J212="متأخرة",J212="اليوم"),COUNTIFS($J$6:$J$505,"متأخرة",$E$6:$E$505,"&lt;"&amp;E212)+COUNTIFS($J$6:$J$505,"اليوم",$E$6:$E$505,"&lt;"&amp;E212)+COUNTIFS($E$6:E212,E212&amp;"",$J$6:J212,J212),"")</f>
        <v/>
      </c>
    </row>
    <row r="213">
      <c r="A213" s="5" t="n"/>
      <c r="B213" s="5" t="n"/>
      <c r="C213" s="5" t="n"/>
      <c r="D213" s="16" t="n"/>
      <c r="E213" s="13" t="n"/>
      <c r="F213" s="13" t="n"/>
      <c r="G213" s="5" t="n"/>
      <c r="H213" s="17">
        <f>IF(C213&amp;""="","",IFERROR(VLOOKUP(C213,'الإعدادات'!$A$8:$B$13,2,FALSE),""))</f>
        <v/>
      </c>
      <c r="I213" s="18">
        <f>IF(OR(H213="",NOT(ISNUMBER(D213))),"",ROUND(D213*H213,2))</f>
        <v/>
      </c>
      <c r="J213" s="6">
        <f>IF(A213&amp;""="","",IF(OR(C213="تم",C213="خسارة"),"مغلقة",IF(NOT(ISNUMBER(E213)),"بلا موعد",IF(E213&lt;'الإعدادات'!$B$4,"متأخرة",IF(E213='الإعدادات'!$B$4,"اليوم","قادمة")))))</f>
        <v/>
      </c>
      <c r="K213" s="19">
        <f>IF(OR(J213="متأخرة",J213="اليوم"),'الإعدادات'!$B$4-E213,"")</f>
        <v/>
      </c>
      <c r="L213" s="19">
        <f>IF(OR(A213&amp;""="",NOT(ISNUMBER(F213))),"",'الإعدادات'!$B$4-F213)</f>
        <v/>
      </c>
      <c r="M213" s="19">
        <f>IF(OR(J213="متأخرة",J213="اليوم"),COUNTIFS($J$6:$J$505,"متأخرة",$E$6:$E$505,"&lt;"&amp;E213)+COUNTIFS($J$6:$J$505,"اليوم",$E$6:$E$505,"&lt;"&amp;E213)+COUNTIFS($E$6:E213,E213&amp;"",$J$6:J213,J213),"")</f>
        <v/>
      </c>
    </row>
    <row r="214">
      <c r="A214" s="5" t="n"/>
      <c r="B214" s="5" t="n"/>
      <c r="C214" s="5" t="n"/>
      <c r="D214" s="16" t="n"/>
      <c r="E214" s="13" t="n"/>
      <c r="F214" s="13" t="n"/>
      <c r="G214" s="5" t="n"/>
      <c r="H214" s="17">
        <f>IF(C214&amp;""="","",IFERROR(VLOOKUP(C214,'الإعدادات'!$A$8:$B$13,2,FALSE),""))</f>
        <v/>
      </c>
      <c r="I214" s="18">
        <f>IF(OR(H214="",NOT(ISNUMBER(D214))),"",ROUND(D214*H214,2))</f>
        <v/>
      </c>
      <c r="J214" s="6">
        <f>IF(A214&amp;""="","",IF(OR(C214="تم",C214="خسارة"),"مغلقة",IF(NOT(ISNUMBER(E214)),"بلا موعد",IF(E214&lt;'الإعدادات'!$B$4,"متأخرة",IF(E214='الإعدادات'!$B$4,"اليوم","قادمة")))))</f>
        <v/>
      </c>
      <c r="K214" s="19">
        <f>IF(OR(J214="متأخرة",J214="اليوم"),'الإعدادات'!$B$4-E214,"")</f>
        <v/>
      </c>
      <c r="L214" s="19">
        <f>IF(OR(A214&amp;""="",NOT(ISNUMBER(F214))),"",'الإعدادات'!$B$4-F214)</f>
        <v/>
      </c>
      <c r="M214" s="19">
        <f>IF(OR(J214="متأخرة",J214="اليوم"),COUNTIFS($J$6:$J$505,"متأخرة",$E$6:$E$505,"&lt;"&amp;E214)+COUNTIFS($J$6:$J$505,"اليوم",$E$6:$E$505,"&lt;"&amp;E214)+COUNTIFS($E$6:E214,E214&amp;"",$J$6:J214,J214),"")</f>
        <v/>
      </c>
    </row>
    <row r="215">
      <c r="A215" s="5" t="n"/>
      <c r="B215" s="5" t="n"/>
      <c r="C215" s="5" t="n"/>
      <c r="D215" s="16" t="n"/>
      <c r="E215" s="13" t="n"/>
      <c r="F215" s="13" t="n"/>
      <c r="G215" s="5" t="n"/>
      <c r="H215" s="17">
        <f>IF(C215&amp;""="","",IFERROR(VLOOKUP(C215,'الإعدادات'!$A$8:$B$13,2,FALSE),""))</f>
        <v/>
      </c>
      <c r="I215" s="18">
        <f>IF(OR(H215="",NOT(ISNUMBER(D215))),"",ROUND(D215*H215,2))</f>
        <v/>
      </c>
      <c r="J215" s="6">
        <f>IF(A215&amp;""="","",IF(OR(C215="تم",C215="خسارة"),"مغلقة",IF(NOT(ISNUMBER(E215)),"بلا موعد",IF(E215&lt;'الإعدادات'!$B$4,"متأخرة",IF(E215='الإعدادات'!$B$4,"اليوم","قادمة")))))</f>
        <v/>
      </c>
      <c r="K215" s="19">
        <f>IF(OR(J215="متأخرة",J215="اليوم"),'الإعدادات'!$B$4-E215,"")</f>
        <v/>
      </c>
      <c r="L215" s="19">
        <f>IF(OR(A215&amp;""="",NOT(ISNUMBER(F215))),"",'الإعدادات'!$B$4-F215)</f>
        <v/>
      </c>
      <c r="M215" s="19">
        <f>IF(OR(J215="متأخرة",J215="اليوم"),COUNTIFS($J$6:$J$505,"متأخرة",$E$6:$E$505,"&lt;"&amp;E215)+COUNTIFS($J$6:$J$505,"اليوم",$E$6:$E$505,"&lt;"&amp;E215)+COUNTIFS($E$6:E215,E215&amp;"",$J$6:J215,J215),"")</f>
        <v/>
      </c>
    </row>
    <row r="216">
      <c r="A216" s="5" t="n"/>
      <c r="B216" s="5" t="n"/>
      <c r="C216" s="5" t="n"/>
      <c r="D216" s="16" t="n"/>
      <c r="E216" s="13" t="n"/>
      <c r="F216" s="13" t="n"/>
      <c r="G216" s="5" t="n"/>
      <c r="H216" s="17">
        <f>IF(C216&amp;""="","",IFERROR(VLOOKUP(C216,'الإعدادات'!$A$8:$B$13,2,FALSE),""))</f>
        <v/>
      </c>
      <c r="I216" s="18">
        <f>IF(OR(H216="",NOT(ISNUMBER(D216))),"",ROUND(D216*H216,2))</f>
        <v/>
      </c>
      <c r="J216" s="6">
        <f>IF(A216&amp;""="","",IF(OR(C216="تم",C216="خسارة"),"مغلقة",IF(NOT(ISNUMBER(E216)),"بلا موعد",IF(E216&lt;'الإعدادات'!$B$4,"متأخرة",IF(E216='الإعدادات'!$B$4,"اليوم","قادمة")))))</f>
        <v/>
      </c>
      <c r="K216" s="19">
        <f>IF(OR(J216="متأخرة",J216="اليوم"),'الإعدادات'!$B$4-E216,"")</f>
        <v/>
      </c>
      <c r="L216" s="19">
        <f>IF(OR(A216&amp;""="",NOT(ISNUMBER(F216))),"",'الإعدادات'!$B$4-F216)</f>
        <v/>
      </c>
      <c r="M216" s="19">
        <f>IF(OR(J216="متأخرة",J216="اليوم"),COUNTIFS($J$6:$J$505,"متأخرة",$E$6:$E$505,"&lt;"&amp;E216)+COUNTIFS($J$6:$J$505,"اليوم",$E$6:$E$505,"&lt;"&amp;E216)+COUNTIFS($E$6:E216,E216&amp;"",$J$6:J216,J216),"")</f>
        <v/>
      </c>
    </row>
    <row r="217">
      <c r="A217" s="5" t="n"/>
      <c r="B217" s="5" t="n"/>
      <c r="C217" s="5" t="n"/>
      <c r="D217" s="16" t="n"/>
      <c r="E217" s="13" t="n"/>
      <c r="F217" s="13" t="n"/>
      <c r="G217" s="5" t="n"/>
      <c r="H217" s="17">
        <f>IF(C217&amp;""="","",IFERROR(VLOOKUP(C217,'الإعدادات'!$A$8:$B$13,2,FALSE),""))</f>
        <v/>
      </c>
      <c r="I217" s="18">
        <f>IF(OR(H217="",NOT(ISNUMBER(D217))),"",ROUND(D217*H217,2))</f>
        <v/>
      </c>
      <c r="J217" s="6">
        <f>IF(A217&amp;""="","",IF(OR(C217="تم",C217="خسارة"),"مغلقة",IF(NOT(ISNUMBER(E217)),"بلا موعد",IF(E217&lt;'الإعدادات'!$B$4,"متأخرة",IF(E217='الإعدادات'!$B$4,"اليوم","قادمة")))))</f>
        <v/>
      </c>
      <c r="K217" s="19">
        <f>IF(OR(J217="متأخرة",J217="اليوم"),'الإعدادات'!$B$4-E217,"")</f>
        <v/>
      </c>
      <c r="L217" s="19">
        <f>IF(OR(A217&amp;""="",NOT(ISNUMBER(F217))),"",'الإعدادات'!$B$4-F217)</f>
        <v/>
      </c>
      <c r="M217" s="19">
        <f>IF(OR(J217="متأخرة",J217="اليوم"),COUNTIFS($J$6:$J$505,"متأخرة",$E$6:$E$505,"&lt;"&amp;E217)+COUNTIFS($J$6:$J$505,"اليوم",$E$6:$E$505,"&lt;"&amp;E217)+COUNTIFS($E$6:E217,E217&amp;"",$J$6:J217,J217),"")</f>
        <v/>
      </c>
    </row>
    <row r="218">
      <c r="A218" s="5" t="n"/>
      <c r="B218" s="5" t="n"/>
      <c r="C218" s="5" t="n"/>
      <c r="D218" s="16" t="n"/>
      <c r="E218" s="13" t="n"/>
      <c r="F218" s="13" t="n"/>
      <c r="G218" s="5" t="n"/>
      <c r="H218" s="17">
        <f>IF(C218&amp;""="","",IFERROR(VLOOKUP(C218,'الإعدادات'!$A$8:$B$13,2,FALSE),""))</f>
        <v/>
      </c>
      <c r="I218" s="18">
        <f>IF(OR(H218="",NOT(ISNUMBER(D218))),"",ROUND(D218*H218,2))</f>
        <v/>
      </c>
      <c r="J218" s="6">
        <f>IF(A218&amp;""="","",IF(OR(C218="تم",C218="خسارة"),"مغلقة",IF(NOT(ISNUMBER(E218)),"بلا موعد",IF(E218&lt;'الإعدادات'!$B$4,"متأخرة",IF(E218='الإعدادات'!$B$4,"اليوم","قادمة")))))</f>
        <v/>
      </c>
      <c r="K218" s="19">
        <f>IF(OR(J218="متأخرة",J218="اليوم"),'الإعدادات'!$B$4-E218,"")</f>
        <v/>
      </c>
      <c r="L218" s="19">
        <f>IF(OR(A218&amp;""="",NOT(ISNUMBER(F218))),"",'الإعدادات'!$B$4-F218)</f>
        <v/>
      </c>
      <c r="M218" s="19">
        <f>IF(OR(J218="متأخرة",J218="اليوم"),COUNTIFS($J$6:$J$505,"متأخرة",$E$6:$E$505,"&lt;"&amp;E218)+COUNTIFS($J$6:$J$505,"اليوم",$E$6:$E$505,"&lt;"&amp;E218)+COUNTIFS($E$6:E218,E218&amp;"",$J$6:J218,J218),"")</f>
        <v/>
      </c>
    </row>
    <row r="219">
      <c r="A219" s="5" t="n"/>
      <c r="B219" s="5" t="n"/>
      <c r="C219" s="5" t="n"/>
      <c r="D219" s="16" t="n"/>
      <c r="E219" s="13" t="n"/>
      <c r="F219" s="13" t="n"/>
      <c r="G219" s="5" t="n"/>
      <c r="H219" s="17">
        <f>IF(C219&amp;""="","",IFERROR(VLOOKUP(C219,'الإعدادات'!$A$8:$B$13,2,FALSE),""))</f>
        <v/>
      </c>
      <c r="I219" s="18">
        <f>IF(OR(H219="",NOT(ISNUMBER(D219))),"",ROUND(D219*H219,2))</f>
        <v/>
      </c>
      <c r="J219" s="6">
        <f>IF(A219&amp;""="","",IF(OR(C219="تم",C219="خسارة"),"مغلقة",IF(NOT(ISNUMBER(E219)),"بلا موعد",IF(E219&lt;'الإعدادات'!$B$4,"متأخرة",IF(E219='الإعدادات'!$B$4,"اليوم","قادمة")))))</f>
        <v/>
      </c>
      <c r="K219" s="19">
        <f>IF(OR(J219="متأخرة",J219="اليوم"),'الإعدادات'!$B$4-E219,"")</f>
        <v/>
      </c>
      <c r="L219" s="19">
        <f>IF(OR(A219&amp;""="",NOT(ISNUMBER(F219))),"",'الإعدادات'!$B$4-F219)</f>
        <v/>
      </c>
      <c r="M219" s="19">
        <f>IF(OR(J219="متأخرة",J219="اليوم"),COUNTIFS($J$6:$J$505,"متأخرة",$E$6:$E$505,"&lt;"&amp;E219)+COUNTIFS($J$6:$J$505,"اليوم",$E$6:$E$505,"&lt;"&amp;E219)+COUNTIFS($E$6:E219,E219&amp;"",$J$6:J219,J219),"")</f>
        <v/>
      </c>
    </row>
    <row r="220">
      <c r="A220" s="5" t="n"/>
      <c r="B220" s="5" t="n"/>
      <c r="C220" s="5" t="n"/>
      <c r="D220" s="16" t="n"/>
      <c r="E220" s="13" t="n"/>
      <c r="F220" s="13" t="n"/>
      <c r="G220" s="5" t="n"/>
      <c r="H220" s="17">
        <f>IF(C220&amp;""="","",IFERROR(VLOOKUP(C220,'الإعدادات'!$A$8:$B$13,2,FALSE),""))</f>
        <v/>
      </c>
      <c r="I220" s="18">
        <f>IF(OR(H220="",NOT(ISNUMBER(D220))),"",ROUND(D220*H220,2))</f>
        <v/>
      </c>
      <c r="J220" s="6">
        <f>IF(A220&amp;""="","",IF(OR(C220="تم",C220="خسارة"),"مغلقة",IF(NOT(ISNUMBER(E220)),"بلا موعد",IF(E220&lt;'الإعدادات'!$B$4,"متأخرة",IF(E220='الإعدادات'!$B$4,"اليوم","قادمة")))))</f>
        <v/>
      </c>
      <c r="K220" s="19">
        <f>IF(OR(J220="متأخرة",J220="اليوم"),'الإعدادات'!$B$4-E220,"")</f>
        <v/>
      </c>
      <c r="L220" s="19">
        <f>IF(OR(A220&amp;""="",NOT(ISNUMBER(F220))),"",'الإعدادات'!$B$4-F220)</f>
        <v/>
      </c>
      <c r="M220" s="19">
        <f>IF(OR(J220="متأخرة",J220="اليوم"),COUNTIFS($J$6:$J$505,"متأخرة",$E$6:$E$505,"&lt;"&amp;E220)+COUNTIFS($J$6:$J$505,"اليوم",$E$6:$E$505,"&lt;"&amp;E220)+COUNTIFS($E$6:E220,E220&amp;"",$J$6:J220,J220),"")</f>
        <v/>
      </c>
    </row>
    <row r="221">
      <c r="A221" s="5" t="n"/>
      <c r="B221" s="5" t="n"/>
      <c r="C221" s="5" t="n"/>
      <c r="D221" s="16" t="n"/>
      <c r="E221" s="13" t="n"/>
      <c r="F221" s="13" t="n"/>
      <c r="G221" s="5" t="n"/>
      <c r="H221" s="17">
        <f>IF(C221&amp;""="","",IFERROR(VLOOKUP(C221,'الإعدادات'!$A$8:$B$13,2,FALSE),""))</f>
        <v/>
      </c>
      <c r="I221" s="18">
        <f>IF(OR(H221="",NOT(ISNUMBER(D221))),"",ROUND(D221*H221,2))</f>
        <v/>
      </c>
      <c r="J221" s="6">
        <f>IF(A221&amp;""="","",IF(OR(C221="تم",C221="خسارة"),"مغلقة",IF(NOT(ISNUMBER(E221)),"بلا موعد",IF(E221&lt;'الإعدادات'!$B$4,"متأخرة",IF(E221='الإعدادات'!$B$4,"اليوم","قادمة")))))</f>
        <v/>
      </c>
      <c r="K221" s="19">
        <f>IF(OR(J221="متأخرة",J221="اليوم"),'الإعدادات'!$B$4-E221,"")</f>
        <v/>
      </c>
      <c r="L221" s="19">
        <f>IF(OR(A221&amp;""="",NOT(ISNUMBER(F221))),"",'الإعدادات'!$B$4-F221)</f>
        <v/>
      </c>
      <c r="M221" s="19">
        <f>IF(OR(J221="متأخرة",J221="اليوم"),COUNTIFS($J$6:$J$505,"متأخرة",$E$6:$E$505,"&lt;"&amp;E221)+COUNTIFS($J$6:$J$505,"اليوم",$E$6:$E$505,"&lt;"&amp;E221)+COUNTIFS($E$6:E221,E221&amp;"",$J$6:J221,J221),"")</f>
        <v/>
      </c>
    </row>
    <row r="222">
      <c r="A222" s="5" t="n"/>
      <c r="B222" s="5" t="n"/>
      <c r="C222" s="5" t="n"/>
      <c r="D222" s="16" t="n"/>
      <c r="E222" s="13" t="n"/>
      <c r="F222" s="13" t="n"/>
      <c r="G222" s="5" t="n"/>
      <c r="H222" s="17">
        <f>IF(C222&amp;""="","",IFERROR(VLOOKUP(C222,'الإعدادات'!$A$8:$B$13,2,FALSE),""))</f>
        <v/>
      </c>
      <c r="I222" s="18">
        <f>IF(OR(H222="",NOT(ISNUMBER(D222))),"",ROUND(D222*H222,2))</f>
        <v/>
      </c>
      <c r="J222" s="6">
        <f>IF(A222&amp;""="","",IF(OR(C222="تم",C222="خسارة"),"مغلقة",IF(NOT(ISNUMBER(E222)),"بلا موعد",IF(E222&lt;'الإعدادات'!$B$4,"متأخرة",IF(E222='الإعدادات'!$B$4,"اليوم","قادمة")))))</f>
        <v/>
      </c>
      <c r="K222" s="19">
        <f>IF(OR(J222="متأخرة",J222="اليوم"),'الإعدادات'!$B$4-E222,"")</f>
        <v/>
      </c>
      <c r="L222" s="19">
        <f>IF(OR(A222&amp;""="",NOT(ISNUMBER(F222))),"",'الإعدادات'!$B$4-F222)</f>
        <v/>
      </c>
      <c r="M222" s="19">
        <f>IF(OR(J222="متأخرة",J222="اليوم"),COUNTIFS($J$6:$J$505,"متأخرة",$E$6:$E$505,"&lt;"&amp;E222)+COUNTIFS($J$6:$J$505,"اليوم",$E$6:$E$505,"&lt;"&amp;E222)+COUNTIFS($E$6:E222,E222&amp;"",$J$6:J222,J222),"")</f>
        <v/>
      </c>
    </row>
    <row r="223">
      <c r="A223" s="5" t="n"/>
      <c r="B223" s="5" t="n"/>
      <c r="C223" s="5" t="n"/>
      <c r="D223" s="16" t="n"/>
      <c r="E223" s="13" t="n"/>
      <c r="F223" s="13" t="n"/>
      <c r="G223" s="5" t="n"/>
      <c r="H223" s="17">
        <f>IF(C223&amp;""="","",IFERROR(VLOOKUP(C223,'الإعدادات'!$A$8:$B$13,2,FALSE),""))</f>
        <v/>
      </c>
      <c r="I223" s="18">
        <f>IF(OR(H223="",NOT(ISNUMBER(D223))),"",ROUND(D223*H223,2))</f>
        <v/>
      </c>
      <c r="J223" s="6">
        <f>IF(A223&amp;""="","",IF(OR(C223="تم",C223="خسارة"),"مغلقة",IF(NOT(ISNUMBER(E223)),"بلا موعد",IF(E223&lt;'الإعدادات'!$B$4,"متأخرة",IF(E223='الإعدادات'!$B$4,"اليوم","قادمة")))))</f>
        <v/>
      </c>
      <c r="K223" s="19">
        <f>IF(OR(J223="متأخرة",J223="اليوم"),'الإعدادات'!$B$4-E223,"")</f>
        <v/>
      </c>
      <c r="L223" s="19">
        <f>IF(OR(A223&amp;""="",NOT(ISNUMBER(F223))),"",'الإعدادات'!$B$4-F223)</f>
        <v/>
      </c>
      <c r="M223" s="19">
        <f>IF(OR(J223="متأخرة",J223="اليوم"),COUNTIFS($J$6:$J$505,"متأخرة",$E$6:$E$505,"&lt;"&amp;E223)+COUNTIFS($J$6:$J$505,"اليوم",$E$6:$E$505,"&lt;"&amp;E223)+COUNTIFS($E$6:E223,E223&amp;"",$J$6:J223,J223),"")</f>
        <v/>
      </c>
    </row>
    <row r="224">
      <c r="A224" s="5" t="n"/>
      <c r="B224" s="5" t="n"/>
      <c r="C224" s="5" t="n"/>
      <c r="D224" s="16" t="n"/>
      <c r="E224" s="13" t="n"/>
      <c r="F224" s="13" t="n"/>
      <c r="G224" s="5" t="n"/>
      <c r="H224" s="17">
        <f>IF(C224&amp;""="","",IFERROR(VLOOKUP(C224,'الإعدادات'!$A$8:$B$13,2,FALSE),""))</f>
        <v/>
      </c>
      <c r="I224" s="18">
        <f>IF(OR(H224="",NOT(ISNUMBER(D224))),"",ROUND(D224*H224,2))</f>
        <v/>
      </c>
      <c r="J224" s="6">
        <f>IF(A224&amp;""="","",IF(OR(C224="تم",C224="خسارة"),"مغلقة",IF(NOT(ISNUMBER(E224)),"بلا موعد",IF(E224&lt;'الإعدادات'!$B$4,"متأخرة",IF(E224='الإعدادات'!$B$4,"اليوم","قادمة")))))</f>
        <v/>
      </c>
      <c r="K224" s="19">
        <f>IF(OR(J224="متأخرة",J224="اليوم"),'الإعدادات'!$B$4-E224,"")</f>
        <v/>
      </c>
      <c r="L224" s="19">
        <f>IF(OR(A224&amp;""="",NOT(ISNUMBER(F224))),"",'الإعدادات'!$B$4-F224)</f>
        <v/>
      </c>
      <c r="M224" s="19">
        <f>IF(OR(J224="متأخرة",J224="اليوم"),COUNTIFS($J$6:$J$505,"متأخرة",$E$6:$E$505,"&lt;"&amp;E224)+COUNTIFS($J$6:$J$505,"اليوم",$E$6:$E$505,"&lt;"&amp;E224)+COUNTIFS($E$6:E224,E224&amp;"",$J$6:J224,J224),"")</f>
        <v/>
      </c>
    </row>
    <row r="225">
      <c r="A225" s="5" t="n"/>
      <c r="B225" s="5" t="n"/>
      <c r="C225" s="5" t="n"/>
      <c r="D225" s="16" t="n"/>
      <c r="E225" s="13" t="n"/>
      <c r="F225" s="13" t="n"/>
      <c r="G225" s="5" t="n"/>
      <c r="H225" s="17">
        <f>IF(C225&amp;""="","",IFERROR(VLOOKUP(C225,'الإعدادات'!$A$8:$B$13,2,FALSE),""))</f>
        <v/>
      </c>
      <c r="I225" s="18">
        <f>IF(OR(H225="",NOT(ISNUMBER(D225))),"",ROUND(D225*H225,2))</f>
        <v/>
      </c>
      <c r="J225" s="6">
        <f>IF(A225&amp;""="","",IF(OR(C225="تم",C225="خسارة"),"مغلقة",IF(NOT(ISNUMBER(E225)),"بلا موعد",IF(E225&lt;'الإعدادات'!$B$4,"متأخرة",IF(E225='الإعدادات'!$B$4,"اليوم","قادمة")))))</f>
        <v/>
      </c>
      <c r="K225" s="19">
        <f>IF(OR(J225="متأخرة",J225="اليوم"),'الإعدادات'!$B$4-E225,"")</f>
        <v/>
      </c>
      <c r="L225" s="19">
        <f>IF(OR(A225&amp;""="",NOT(ISNUMBER(F225))),"",'الإعدادات'!$B$4-F225)</f>
        <v/>
      </c>
      <c r="M225" s="19">
        <f>IF(OR(J225="متأخرة",J225="اليوم"),COUNTIFS($J$6:$J$505,"متأخرة",$E$6:$E$505,"&lt;"&amp;E225)+COUNTIFS($J$6:$J$505,"اليوم",$E$6:$E$505,"&lt;"&amp;E225)+COUNTIFS($E$6:E225,E225&amp;"",$J$6:J225,J225),"")</f>
        <v/>
      </c>
    </row>
    <row r="226">
      <c r="A226" s="5" t="n"/>
      <c r="B226" s="5" t="n"/>
      <c r="C226" s="5" t="n"/>
      <c r="D226" s="16" t="n"/>
      <c r="E226" s="13" t="n"/>
      <c r="F226" s="13" t="n"/>
      <c r="G226" s="5" t="n"/>
      <c r="H226" s="17">
        <f>IF(C226&amp;""="","",IFERROR(VLOOKUP(C226,'الإعدادات'!$A$8:$B$13,2,FALSE),""))</f>
        <v/>
      </c>
      <c r="I226" s="18">
        <f>IF(OR(H226="",NOT(ISNUMBER(D226))),"",ROUND(D226*H226,2))</f>
        <v/>
      </c>
      <c r="J226" s="6">
        <f>IF(A226&amp;""="","",IF(OR(C226="تم",C226="خسارة"),"مغلقة",IF(NOT(ISNUMBER(E226)),"بلا موعد",IF(E226&lt;'الإعدادات'!$B$4,"متأخرة",IF(E226='الإعدادات'!$B$4,"اليوم","قادمة")))))</f>
        <v/>
      </c>
      <c r="K226" s="19">
        <f>IF(OR(J226="متأخرة",J226="اليوم"),'الإعدادات'!$B$4-E226,"")</f>
        <v/>
      </c>
      <c r="L226" s="19">
        <f>IF(OR(A226&amp;""="",NOT(ISNUMBER(F226))),"",'الإعدادات'!$B$4-F226)</f>
        <v/>
      </c>
      <c r="M226" s="19">
        <f>IF(OR(J226="متأخرة",J226="اليوم"),COUNTIFS($J$6:$J$505,"متأخرة",$E$6:$E$505,"&lt;"&amp;E226)+COUNTIFS($J$6:$J$505,"اليوم",$E$6:$E$505,"&lt;"&amp;E226)+COUNTIFS($E$6:E226,E226&amp;"",$J$6:J226,J226),"")</f>
        <v/>
      </c>
    </row>
    <row r="227">
      <c r="A227" s="5" t="n"/>
      <c r="B227" s="5" t="n"/>
      <c r="C227" s="5" t="n"/>
      <c r="D227" s="16" t="n"/>
      <c r="E227" s="13" t="n"/>
      <c r="F227" s="13" t="n"/>
      <c r="G227" s="5" t="n"/>
      <c r="H227" s="17">
        <f>IF(C227&amp;""="","",IFERROR(VLOOKUP(C227,'الإعدادات'!$A$8:$B$13,2,FALSE),""))</f>
        <v/>
      </c>
      <c r="I227" s="18">
        <f>IF(OR(H227="",NOT(ISNUMBER(D227))),"",ROUND(D227*H227,2))</f>
        <v/>
      </c>
      <c r="J227" s="6">
        <f>IF(A227&amp;""="","",IF(OR(C227="تم",C227="خسارة"),"مغلقة",IF(NOT(ISNUMBER(E227)),"بلا موعد",IF(E227&lt;'الإعدادات'!$B$4,"متأخرة",IF(E227='الإعدادات'!$B$4,"اليوم","قادمة")))))</f>
        <v/>
      </c>
      <c r="K227" s="19">
        <f>IF(OR(J227="متأخرة",J227="اليوم"),'الإعدادات'!$B$4-E227,"")</f>
        <v/>
      </c>
      <c r="L227" s="19">
        <f>IF(OR(A227&amp;""="",NOT(ISNUMBER(F227))),"",'الإعدادات'!$B$4-F227)</f>
        <v/>
      </c>
      <c r="M227" s="19">
        <f>IF(OR(J227="متأخرة",J227="اليوم"),COUNTIFS($J$6:$J$505,"متأخرة",$E$6:$E$505,"&lt;"&amp;E227)+COUNTIFS($J$6:$J$505,"اليوم",$E$6:$E$505,"&lt;"&amp;E227)+COUNTIFS($E$6:E227,E227&amp;"",$J$6:J227,J227),"")</f>
        <v/>
      </c>
    </row>
    <row r="228">
      <c r="A228" s="5" t="n"/>
      <c r="B228" s="5" t="n"/>
      <c r="C228" s="5" t="n"/>
      <c r="D228" s="16" t="n"/>
      <c r="E228" s="13" t="n"/>
      <c r="F228" s="13" t="n"/>
      <c r="G228" s="5" t="n"/>
      <c r="H228" s="17">
        <f>IF(C228&amp;""="","",IFERROR(VLOOKUP(C228,'الإعدادات'!$A$8:$B$13,2,FALSE),""))</f>
        <v/>
      </c>
      <c r="I228" s="18">
        <f>IF(OR(H228="",NOT(ISNUMBER(D228))),"",ROUND(D228*H228,2))</f>
        <v/>
      </c>
      <c r="J228" s="6">
        <f>IF(A228&amp;""="","",IF(OR(C228="تم",C228="خسارة"),"مغلقة",IF(NOT(ISNUMBER(E228)),"بلا موعد",IF(E228&lt;'الإعدادات'!$B$4,"متأخرة",IF(E228='الإعدادات'!$B$4,"اليوم","قادمة")))))</f>
        <v/>
      </c>
      <c r="K228" s="19">
        <f>IF(OR(J228="متأخرة",J228="اليوم"),'الإعدادات'!$B$4-E228,"")</f>
        <v/>
      </c>
      <c r="L228" s="19">
        <f>IF(OR(A228&amp;""="",NOT(ISNUMBER(F228))),"",'الإعدادات'!$B$4-F228)</f>
        <v/>
      </c>
      <c r="M228" s="19">
        <f>IF(OR(J228="متأخرة",J228="اليوم"),COUNTIFS($J$6:$J$505,"متأخرة",$E$6:$E$505,"&lt;"&amp;E228)+COUNTIFS($J$6:$J$505,"اليوم",$E$6:$E$505,"&lt;"&amp;E228)+COUNTIFS($E$6:E228,E228&amp;"",$J$6:J228,J228),"")</f>
        <v/>
      </c>
    </row>
    <row r="229">
      <c r="A229" s="5" t="n"/>
      <c r="B229" s="5" t="n"/>
      <c r="C229" s="5" t="n"/>
      <c r="D229" s="16" t="n"/>
      <c r="E229" s="13" t="n"/>
      <c r="F229" s="13" t="n"/>
      <c r="G229" s="5" t="n"/>
      <c r="H229" s="17">
        <f>IF(C229&amp;""="","",IFERROR(VLOOKUP(C229,'الإعدادات'!$A$8:$B$13,2,FALSE),""))</f>
        <v/>
      </c>
      <c r="I229" s="18">
        <f>IF(OR(H229="",NOT(ISNUMBER(D229))),"",ROUND(D229*H229,2))</f>
        <v/>
      </c>
      <c r="J229" s="6">
        <f>IF(A229&amp;""="","",IF(OR(C229="تم",C229="خسارة"),"مغلقة",IF(NOT(ISNUMBER(E229)),"بلا موعد",IF(E229&lt;'الإعدادات'!$B$4,"متأخرة",IF(E229='الإعدادات'!$B$4,"اليوم","قادمة")))))</f>
        <v/>
      </c>
      <c r="K229" s="19">
        <f>IF(OR(J229="متأخرة",J229="اليوم"),'الإعدادات'!$B$4-E229,"")</f>
        <v/>
      </c>
      <c r="L229" s="19">
        <f>IF(OR(A229&amp;""="",NOT(ISNUMBER(F229))),"",'الإعدادات'!$B$4-F229)</f>
        <v/>
      </c>
      <c r="M229" s="19">
        <f>IF(OR(J229="متأخرة",J229="اليوم"),COUNTIFS($J$6:$J$505,"متأخرة",$E$6:$E$505,"&lt;"&amp;E229)+COUNTIFS($J$6:$J$505,"اليوم",$E$6:$E$505,"&lt;"&amp;E229)+COUNTIFS($E$6:E229,E229&amp;"",$J$6:J229,J229),"")</f>
        <v/>
      </c>
    </row>
    <row r="230">
      <c r="A230" s="5" t="n"/>
      <c r="B230" s="5" t="n"/>
      <c r="C230" s="5" t="n"/>
      <c r="D230" s="16" t="n"/>
      <c r="E230" s="13" t="n"/>
      <c r="F230" s="13" t="n"/>
      <c r="G230" s="5" t="n"/>
      <c r="H230" s="17">
        <f>IF(C230&amp;""="","",IFERROR(VLOOKUP(C230,'الإعدادات'!$A$8:$B$13,2,FALSE),""))</f>
        <v/>
      </c>
      <c r="I230" s="18">
        <f>IF(OR(H230="",NOT(ISNUMBER(D230))),"",ROUND(D230*H230,2))</f>
        <v/>
      </c>
      <c r="J230" s="6">
        <f>IF(A230&amp;""="","",IF(OR(C230="تم",C230="خسارة"),"مغلقة",IF(NOT(ISNUMBER(E230)),"بلا موعد",IF(E230&lt;'الإعدادات'!$B$4,"متأخرة",IF(E230='الإعدادات'!$B$4,"اليوم","قادمة")))))</f>
        <v/>
      </c>
      <c r="K230" s="19">
        <f>IF(OR(J230="متأخرة",J230="اليوم"),'الإعدادات'!$B$4-E230,"")</f>
        <v/>
      </c>
      <c r="L230" s="19">
        <f>IF(OR(A230&amp;""="",NOT(ISNUMBER(F230))),"",'الإعدادات'!$B$4-F230)</f>
        <v/>
      </c>
      <c r="M230" s="19">
        <f>IF(OR(J230="متأخرة",J230="اليوم"),COUNTIFS($J$6:$J$505,"متأخرة",$E$6:$E$505,"&lt;"&amp;E230)+COUNTIFS($J$6:$J$505,"اليوم",$E$6:$E$505,"&lt;"&amp;E230)+COUNTIFS($E$6:E230,E230&amp;"",$J$6:J230,J230),"")</f>
        <v/>
      </c>
    </row>
    <row r="231">
      <c r="A231" s="5" t="n"/>
      <c r="B231" s="5" t="n"/>
      <c r="C231" s="5" t="n"/>
      <c r="D231" s="16" t="n"/>
      <c r="E231" s="13" t="n"/>
      <c r="F231" s="13" t="n"/>
      <c r="G231" s="5" t="n"/>
      <c r="H231" s="17">
        <f>IF(C231&amp;""="","",IFERROR(VLOOKUP(C231,'الإعدادات'!$A$8:$B$13,2,FALSE),""))</f>
        <v/>
      </c>
      <c r="I231" s="18">
        <f>IF(OR(H231="",NOT(ISNUMBER(D231))),"",ROUND(D231*H231,2))</f>
        <v/>
      </c>
      <c r="J231" s="6">
        <f>IF(A231&amp;""="","",IF(OR(C231="تم",C231="خسارة"),"مغلقة",IF(NOT(ISNUMBER(E231)),"بلا موعد",IF(E231&lt;'الإعدادات'!$B$4,"متأخرة",IF(E231='الإعدادات'!$B$4,"اليوم","قادمة")))))</f>
        <v/>
      </c>
      <c r="K231" s="19">
        <f>IF(OR(J231="متأخرة",J231="اليوم"),'الإعدادات'!$B$4-E231,"")</f>
        <v/>
      </c>
      <c r="L231" s="19">
        <f>IF(OR(A231&amp;""="",NOT(ISNUMBER(F231))),"",'الإعدادات'!$B$4-F231)</f>
        <v/>
      </c>
      <c r="M231" s="19">
        <f>IF(OR(J231="متأخرة",J231="اليوم"),COUNTIFS($J$6:$J$505,"متأخرة",$E$6:$E$505,"&lt;"&amp;E231)+COUNTIFS($J$6:$J$505,"اليوم",$E$6:$E$505,"&lt;"&amp;E231)+COUNTIFS($E$6:E231,E231&amp;"",$J$6:J231,J231),"")</f>
        <v/>
      </c>
    </row>
    <row r="232">
      <c r="A232" s="5" t="n"/>
      <c r="B232" s="5" t="n"/>
      <c r="C232" s="5" t="n"/>
      <c r="D232" s="16" t="n"/>
      <c r="E232" s="13" t="n"/>
      <c r="F232" s="13" t="n"/>
      <c r="G232" s="5" t="n"/>
      <c r="H232" s="17">
        <f>IF(C232&amp;""="","",IFERROR(VLOOKUP(C232,'الإعدادات'!$A$8:$B$13,2,FALSE),""))</f>
        <v/>
      </c>
      <c r="I232" s="18">
        <f>IF(OR(H232="",NOT(ISNUMBER(D232))),"",ROUND(D232*H232,2))</f>
        <v/>
      </c>
      <c r="J232" s="6">
        <f>IF(A232&amp;""="","",IF(OR(C232="تم",C232="خسارة"),"مغلقة",IF(NOT(ISNUMBER(E232)),"بلا موعد",IF(E232&lt;'الإعدادات'!$B$4,"متأخرة",IF(E232='الإعدادات'!$B$4,"اليوم","قادمة")))))</f>
        <v/>
      </c>
      <c r="K232" s="19">
        <f>IF(OR(J232="متأخرة",J232="اليوم"),'الإعدادات'!$B$4-E232,"")</f>
        <v/>
      </c>
      <c r="L232" s="19">
        <f>IF(OR(A232&amp;""="",NOT(ISNUMBER(F232))),"",'الإعدادات'!$B$4-F232)</f>
        <v/>
      </c>
      <c r="M232" s="19">
        <f>IF(OR(J232="متأخرة",J232="اليوم"),COUNTIFS($J$6:$J$505,"متأخرة",$E$6:$E$505,"&lt;"&amp;E232)+COUNTIFS($J$6:$J$505,"اليوم",$E$6:$E$505,"&lt;"&amp;E232)+COUNTIFS($E$6:E232,E232&amp;"",$J$6:J232,J232),"")</f>
        <v/>
      </c>
    </row>
    <row r="233">
      <c r="A233" s="5" t="n"/>
      <c r="B233" s="5" t="n"/>
      <c r="C233" s="5" t="n"/>
      <c r="D233" s="16" t="n"/>
      <c r="E233" s="13" t="n"/>
      <c r="F233" s="13" t="n"/>
      <c r="G233" s="5" t="n"/>
      <c r="H233" s="17">
        <f>IF(C233&amp;""="","",IFERROR(VLOOKUP(C233,'الإعدادات'!$A$8:$B$13,2,FALSE),""))</f>
        <v/>
      </c>
      <c r="I233" s="18">
        <f>IF(OR(H233="",NOT(ISNUMBER(D233))),"",ROUND(D233*H233,2))</f>
        <v/>
      </c>
      <c r="J233" s="6">
        <f>IF(A233&amp;""="","",IF(OR(C233="تم",C233="خسارة"),"مغلقة",IF(NOT(ISNUMBER(E233)),"بلا موعد",IF(E233&lt;'الإعدادات'!$B$4,"متأخرة",IF(E233='الإعدادات'!$B$4,"اليوم","قادمة")))))</f>
        <v/>
      </c>
      <c r="K233" s="19">
        <f>IF(OR(J233="متأخرة",J233="اليوم"),'الإعدادات'!$B$4-E233,"")</f>
        <v/>
      </c>
      <c r="L233" s="19">
        <f>IF(OR(A233&amp;""="",NOT(ISNUMBER(F233))),"",'الإعدادات'!$B$4-F233)</f>
        <v/>
      </c>
      <c r="M233" s="19">
        <f>IF(OR(J233="متأخرة",J233="اليوم"),COUNTIFS($J$6:$J$505,"متأخرة",$E$6:$E$505,"&lt;"&amp;E233)+COUNTIFS($J$6:$J$505,"اليوم",$E$6:$E$505,"&lt;"&amp;E233)+COUNTIFS($E$6:E233,E233&amp;"",$J$6:J233,J233),"")</f>
        <v/>
      </c>
    </row>
    <row r="234">
      <c r="A234" s="5" t="n"/>
      <c r="B234" s="5" t="n"/>
      <c r="C234" s="5" t="n"/>
      <c r="D234" s="16" t="n"/>
      <c r="E234" s="13" t="n"/>
      <c r="F234" s="13" t="n"/>
      <c r="G234" s="5" t="n"/>
      <c r="H234" s="17">
        <f>IF(C234&amp;""="","",IFERROR(VLOOKUP(C234,'الإعدادات'!$A$8:$B$13,2,FALSE),""))</f>
        <v/>
      </c>
      <c r="I234" s="18">
        <f>IF(OR(H234="",NOT(ISNUMBER(D234))),"",ROUND(D234*H234,2))</f>
        <v/>
      </c>
      <c r="J234" s="6">
        <f>IF(A234&amp;""="","",IF(OR(C234="تم",C234="خسارة"),"مغلقة",IF(NOT(ISNUMBER(E234)),"بلا موعد",IF(E234&lt;'الإعدادات'!$B$4,"متأخرة",IF(E234='الإعدادات'!$B$4,"اليوم","قادمة")))))</f>
        <v/>
      </c>
      <c r="K234" s="19">
        <f>IF(OR(J234="متأخرة",J234="اليوم"),'الإعدادات'!$B$4-E234,"")</f>
        <v/>
      </c>
      <c r="L234" s="19">
        <f>IF(OR(A234&amp;""="",NOT(ISNUMBER(F234))),"",'الإعدادات'!$B$4-F234)</f>
        <v/>
      </c>
      <c r="M234" s="19">
        <f>IF(OR(J234="متأخرة",J234="اليوم"),COUNTIFS($J$6:$J$505,"متأخرة",$E$6:$E$505,"&lt;"&amp;E234)+COUNTIFS($J$6:$J$505,"اليوم",$E$6:$E$505,"&lt;"&amp;E234)+COUNTIFS($E$6:E234,E234&amp;"",$J$6:J234,J234),"")</f>
        <v/>
      </c>
    </row>
    <row r="235">
      <c r="A235" s="5" t="n"/>
      <c r="B235" s="5" t="n"/>
      <c r="C235" s="5" t="n"/>
      <c r="D235" s="16" t="n"/>
      <c r="E235" s="13" t="n"/>
      <c r="F235" s="13" t="n"/>
      <c r="G235" s="5" t="n"/>
      <c r="H235" s="17">
        <f>IF(C235&amp;""="","",IFERROR(VLOOKUP(C235,'الإعدادات'!$A$8:$B$13,2,FALSE),""))</f>
        <v/>
      </c>
      <c r="I235" s="18">
        <f>IF(OR(H235="",NOT(ISNUMBER(D235))),"",ROUND(D235*H235,2))</f>
        <v/>
      </c>
      <c r="J235" s="6">
        <f>IF(A235&amp;""="","",IF(OR(C235="تم",C235="خسارة"),"مغلقة",IF(NOT(ISNUMBER(E235)),"بلا موعد",IF(E235&lt;'الإعدادات'!$B$4,"متأخرة",IF(E235='الإعدادات'!$B$4,"اليوم","قادمة")))))</f>
        <v/>
      </c>
      <c r="K235" s="19">
        <f>IF(OR(J235="متأخرة",J235="اليوم"),'الإعدادات'!$B$4-E235,"")</f>
        <v/>
      </c>
      <c r="L235" s="19">
        <f>IF(OR(A235&amp;""="",NOT(ISNUMBER(F235))),"",'الإعدادات'!$B$4-F235)</f>
        <v/>
      </c>
      <c r="M235" s="19">
        <f>IF(OR(J235="متأخرة",J235="اليوم"),COUNTIFS($J$6:$J$505,"متأخرة",$E$6:$E$505,"&lt;"&amp;E235)+COUNTIFS($J$6:$J$505,"اليوم",$E$6:$E$505,"&lt;"&amp;E235)+COUNTIFS($E$6:E235,E235&amp;"",$J$6:J235,J235),"")</f>
        <v/>
      </c>
    </row>
    <row r="236">
      <c r="A236" s="5" t="n"/>
      <c r="B236" s="5" t="n"/>
      <c r="C236" s="5" t="n"/>
      <c r="D236" s="16" t="n"/>
      <c r="E236" s="13" t="n"/>
      <c r="F236" s="13" t="n"/>
      <c r="G236" s="5" t="n"/>
      <c r="H236" s="17">
        <f>IF(C236&amp;""="","",IFERROR(VLOOKUP(C236,'الإعدادات'!$A$8:$B$13,2,FALSE),""))</f>
        <v/>
      </c>
      <c r="I236" s="18">
        <f>IF(OR(H236="",NOT(ISNUMBER(D236))),"",ROUND(D236*H236,2))</f>
        <v/>
      </c>
      <c r="J236" s="6">
        <f>IF(A236&amp;""="","",IF(OR(C236="تم",C236="خسارة"),"مغلقة",IF(NOT(ISNUMBER(E236)),"بلا موعد",IF(E236&lt;'الإعدادات'!$B$4,"متأخرة",IF(E236='الإعدادات'!$B$4,"اليوم","قادمة")))))</f>
        <v/>
      </c>
      <c r="K236" s="19">
        <f>IF(OR(J236="متأخرة",J236="اليوم"),'الإعدادات'!$B$4-E236,"")</f>
        <v/>
      </c>
      <c r="L236" s="19">
        <f>IF(OR(A236&amp;""="",NOT(ISNUMBER(F236))),"",'الإعدادات'!$B$4-F236)</f>
        <v/>
      </c>
      <c r="M236" s="19">
        <f>IF(OR(J236="متأخرة",J236="اليوم"),COUNTIFS($J$6:$J$505,"متأخرة",$E$6:$E$505,"&lt;"&amp;E236)+COUNTIFS($J$6:$J$505,"اليوم",$E$6:$E$505,"&lt;"&amp;E236)+COUNTIFS($E$6:E236,E236&amp;"",$J$6:J236,J236),"")</f>
        <v/>
      </c>
    </row>
    <row r="237">
      <c r="A237" s="5" t="n"/>
      <c r="B237" s="5" t="n"/>
      <c r="C237" s="5" t="n"/>
      <c r="D237" s="16" t="n"/>
      <c r="E237" s="13" t="n"/>
      <c r="F237" s="13" t="n"/>
      <c r="G237" s="5" t="n"/>
      <c r="H237" s="17">
        <f>IF(C237&amp;""="","",IFERROR(VLOOKUP(C237,'الإعدادات'!$A$8:$B$13,2,FALSE),""))</f>
        <v/>
      </c>
      <c r="I237" s="18">
        <f>IF(OR(H237="",NOT(ISNUMBER(D237))),"",ROUND(D237*H237,2))</f>
        <v/>
      </c>
      <c r="J237" s="6">
        <f>IF(A237&amp;""="","",IF(OR(C237="تم",C237="خسارة"),"مغلقة",IF(NOT(ISNUMBER(E237)),"بلا موعد",IF(E237&lt;'الإعدادات'!$B$4,"متأخرة",IF(E237='الإعدادات'!$B$4,"اليوم","قادمة")))))</f>
        <v/>
      </c>
      <c r="K237" s="19">
        <f>IF(OR(J237="متأخرة",J237="اليوم"),'الإعدادات'!$B$4-E237,"")</f>
        <v/>
      </c>
      <c r="L237" s="19">
        <f>IF(OR(A237&amp;""="",NOT(ISNUMBER(F237))),"",'الإعدادات'!$B$4-F237)</f>
        <v/>
      </c>
      <c r="M237" s="19">
        <f>IF(OR(J237="متأخرة",J237="اليوم"),COUNTIFS($J$6:$J$505,"متأخرة",$E$6:$E$505,"&lt;"&amp;E237)+COUNTIFS($J$6:$J$505,"اليوم",$E$6:$E$505,"&lt;"&amp;E237)+COUNTIFS($E$6:E237,E237&amp;"",$J$6:J237,J237),"")</f>
        <v/>
      </c>
    </row>
    <row r="238">
      <c r="A238" s="5" t="n"/>
      <c r="B238" s="5" t="n"/>
      <c r="C238" s="5" t="n"/>
      <c r="D238" s="16" t="n"/>
      <c r="E238" s="13" t="n"/>
      <c r="F238" s="13" t="n"/>
      <c r="G238" s="5" t="n"/>
      <c r="H238" s="17">
        <f>IF(C238&amp;""="","",IFERROR(VLOOKUP(C238,'الإعدادات'!$A$8:$B$13,2,FALSE),""))</f>
        <v/>
      </c>
      <c r="I238" s="18">
        <f>IF(OR(H238="",NOT(ISNUMBER(D238))),"",ROUND(D238*H238,2))</f>
        <v/>
      </c>
      <c r="J238" s="6">
        <f>IF(A238&amp;""="","",IF(OR(C238="تم",C238="خسارة"),"مغلقة",IF(NOT(ISNUMBER(E238)),"بلا موعد",IF(E238&lt;'الإعدادات'!$B$4,"متأخرة",IF(E238='الإعدادات'!$B$4,"اليوم","قادمة")))))</f>
        <v/>
      </c>
      <c r="K238" s="19">
        <f>IF(OR(J238="متأخرة",J238="اليوم"),'الإعدادات'!$B$4-E238,"")</f>
        <v/>
      </c>
      <c r="L238" s="19">
        <f>IF(OR(A238&amp;""="",NOT(ISNUMBER(F238))),"",'الإعدادات'!$B$4-F238)</f>
        <v/>
      </c>
      <c r="M238" s="19">
        <f>IF(OR(J238="متأخرة",J238="اليوم"),COUNTIFS($J$6:$J$505,"متأخرة",$E$6:$E$505,"&lt;"&amp;E238)+COUNTIFS($J$6:$J$505,"اليوم",$E$6:$E$505,"&lt;"&amp;E238)+COUNTIFS($E$6:E238,E238&amp;"",$J$6:J238,J238),"")</f>
        <v/>
      </c>
    </row>
    <row r="239">
      <c r="A239" s="5" t="n"/>
      <c r="B239" s="5" t="n"/>
      <c r="C239" s="5" t="n"/>
      <c r="D239" s="16" t="n"/>
      <c r="E239" s="13" t="n"/>
      <c r="F239" s="13" t="n"/>
      <c r="G239" s="5" t="n"/>
      <c r="H239" s="17">
        <f>IF(C239&amp;""="","",IFERROR(VLOOKUP(C239,'الإعدادات'!$A$8:$B$13,2,FALSE),""))</f>
        <v/>
      </c>
      <c r="I239" s="18">
        <f>IF(OR(H239="",NOT(ISNUMBER(D239))),"",ROUND(D239*H239,2))</f>
        <v/>
      </c>
      <c r="J239" s="6">
        <f>IF(A239&amp;""="","",IF(OR(C239="تم",C239="خسارة"),"مغلقة",IF(NOT(ISNUMBER(E239)),"بلا موعد",IF(E239&lt;'الإعدادات'!$B$4,"متأخرة",IF(E239='الإعدادات'!$B$4,"اليوم","قادمة")))))</f>
        <v/>
      </c>
      <c r="K239" s="19">
        <f>IF(OR(J239="متأخرة",J239="اليوم"),'الإعدادات'!$B$4-E239,"")</f>
        <v/>
      </c>
      <c r="L239" s="19">
        <f>IF(OR(A239&amp;""="",NOT(ISNUMBER(F239))),"",'الإعدادات'!$B$4-F239)</f>
        <v/>
      </c>
      <c r="M239" s="19">
        <f>IF(OR(J239="متأخرة",J239="اليوم"),COUNTIFS($J$6:$J$505,"متأخرة",$E$6:$E$505,"&lt;"&amp;E239)+COUNTIFS($J$6:$J$505,"اليوم",$E$6:$E$505,"&lt;"&amp;E239)+COUNTIFS($E$6:E239,E239&amp;"",$J$6:J239,J239),"")</f>
        <v/>
      </c>
    </row>
    <row r="240">
      <c r="A240" s="5" t="n"/>
      <c r="B240" s="5" t="n"/>
      <c r="C240" s="5" t="n"/>
      <c r="D240" s="16" t="n"/>
      <c r="E240" s="13" t="n"/>
      <c r="F240" s="13" t="n"/>
      <c r="G240" s="5" t="n"/>
      <c r="H240" s="17">
        <f>IF(C240&amp;""="","",IFERROR(VLOOKUP(C240,'الإعدادات'!$A$8:$B$13,2,FALSE),""))</f>
        <v/>
      </c>
      <c r="I240" s="18">
        <f>IF(OR(H240="",NOT(ISNUMBER(D240))),"",ROUND(D240*H240,2))</f>
        <v/>
      </c>
      <c r="J240" s="6">
        <f>IF(A240&amp;""="","",IF(OR(C240="تم",C240="خسارة"),"مغلقة",IF(NOT(ISNUMBER(E240)),"بلا موعد",IF(E240&lt;'الإعدادات'!$B$4,"متأخرة",IF(E240='الإعدادات'!$B$4,"اليوم","قادمة")))))</f>
        <v/>
      </c>
      <c r="K240" s="19">
        <f>IF(OR(J240="متأخرة",J240="اليوم"),'الإعدادات'!$B$4-E240,"")</f>
        <v/>
      </c>
      <c r="L240" s="19">
        <f>IF(OR(A240&amp;""="",NOT(ISNUMBER(F240))),"",'الإعدادات'!$B$4-F240)</f>
        <v/>
      </c>
      <c r="M240" s="19">
        <f>IF(OR(J240="متأخرة",J240="اليوم"),COUNTIFS($J$6:$J$505,"متأخرة",$E$6:$E$505,"&lt;"&amp;E240)+COUNTIFS($J$6:$J$505,"اليوم",$E$6:$E$505,"&lt;"&amp;E240)+COUNTIFS($E$6:E240,E240&amp;"",$J$6:J240,J240),"")</f>
        <v/>
      </c>
    </row>
    <row r="241">
      <c r="A241" s="5" t="n"/>
      <c r="B241" s="5" t="n"/>
      <c r="C241" s="5" t="n"/>
      <c r="D241" s="16" t="n"/>
      <c r="E241" s="13" t="n"/>
      <c r="F241" s="13" t="n"/>
      <c r="G241" s="5" t="n"/>
      <c r="H241" s="17">
        <f>IF(C241&amp;""="","",IFERROR(VLOOKUP(C241,'الإعدادات'!$A$8:$B$13,2,FALSE),""))</f>
        <v/>
      </c>
      <c r="I241" s="18">
        <f>IF(OR(H241="",NOT(ISNUMBER(D241))),"",ROUND(D241*H241,2))</f>
        <v/>
      </c>
      <c r="J241" s="6">
        <f>IF(A241&amp;""="","",IF(OR(C241="تم",C241="خسارة"),"مغلقة",IF(NOT(ISNUMBER(E241)),"بلا موعد",IF(E241&lt;'الإعدادات'!$B$4,"متأخرة",IF(E241='الإعدادات'!$B$4,"اليوم","قادمة")))))</f>
        <v/>
      </c>
      <c r="K241" s="19">
        <f>IF(OR(J241="متأخرة",J241="اليوم"),'الإعدادات'!$B$4-E241,"")</f>
        <v/>
      </c>
      <c r="L241" s="19">
        <f>IF(OR(A241&amp;""="",NOT(ISNUMBER(F241))),"",'الإعدادات'!$B$4-F241)</f>
        <v/>
      </c>
      <c r="M241" s="19">
        <f>IF(OR(J241="متأخرة",J241="اليوم"),COUNTIFS($J$6:$J$505,"متأخرة",$E$6:$E$505,"&lt;"&amp;E241)+COUNTIFS($J$6:$J$505,"اليوم",$E$6:$E$505,"&lt;"&amp;E241)+COUNTIFS($E$6:E241,E241&amp;"",$J$6:J241,J241),"")</f>
        <v/>
      </c>
    </row>
    <row r="242">
      <c r="A242" s="5" t="n"/>
      <c r="B242" s="5" t="n"/>
      <c r="C242" s="5" t="n"/>
      <c r="D242" s="16" t="n"/>
      <c r="E242" s="13" t="n"/>
      <c r="F242" s="13" t="n"/>
      <c r="G242" s="5" t="n"/>
      <c r="H242" s="17">
        <f>IF(C242&amp;""="","",IFERROR(VLOOKUP(C242,'الإعدادات'!$A$8:$B$13,2,FALSE),""))</f>
        <v/>
      </c>
      <c r="I242" s="18">
        <f>IF(OR(H242="",NOT(ISNUMBER(D242))),"",ROUND(D242*H242,2))</f>
        <v/>
      </c>
      <c r="J242" s="6">
        <f>IF(A242&amp;""="","",IF(OR(C242="تم",C242="خسارة"),"مغلقة",IF(NOT(ISNUMBER(E242)),"بلا موعد",IF(E242&lt;'الإعدادات'!$B$4,"متأخرة",IF(E242='الإعدادات'!$B$4,"اليوم","قادمة")))))</f>
        <v/>
      </c>
      <c r="K242" s="19">
        <f>IF(OR(J242="متأخرة",J242="اليوم"),'الإعدادات'!$B$4-E242,"")</f>
        <v/>
      </c>
      <c r="L242" s="19">
        <f>IF(OR(A242&amp;""="",NOT(ISNUMBER(F242))),"",'الإعدادات'!$B$4-F242)</f>
        <v/>
      </c>
      <c r="M242" s="19">
        <f>IF(OR(J242="متأخرة",J242="اليوم"),COUNTIFS($J$6:$J$505,"متأخرة",$E$6:$E$505,"&lt;"&amp;E242)+COUNTIFS($J$6:$J$505,"اليوم",$E$6:$E$505,"&lt;"&amp;E242)+COUNTIFS($E$6:E242,E242&amp;"",$J$6:J242,J242),"")</f>
        <v/>
      </c>
    </row>
    <row r="243">
      <c r="A243" s="5" t="n"/>
      <c r="B243" s="5" t="n"/>
      <c r="C243" s="5" t="n"/>
      <c r="D243" s="16" t="n"/>
      <c r="E243" s="13" t="n"/>
      <c r="F243" s="13" t="n"/>
      <c r="G243" s="5" t="n"/>
      <c r="H243" s="17">
        <f>IF(C243&amp;""="","",IFERROR(VLOOKUP(C243,'الإعدادات'!$A$8:$B$13,2,FALSE),""))</f>
        <v/>
      </c>
      <c r="I243" s="18">
        <f>IF(OR(H243="",NOT(ISNUMBER(D243))),"",ROUND(D243*H243,2))</f>
        <v/>
      </c>
      <c r="J243" s="6">
        <f>IF(A243&amp;""="","",IF(OR(C243="تم",C243="خسارة"),"مغلقة",IF(NOT(ISNUMBER(E243)),"بلا موعد",IF(E243&lt;'الإعدادات'!$B$4,"متأخرة",IF(E243='الإعدادات'!$B$4,"اليوم","قادمة")))))</f>
        <v/>
      </c>
      <c r="K243" s="19">
        <f>IF(OR(J243="متأخرة",J243="اليوم"),'الإعدادات'!$B$4-E243,"")</f>
        <v/>
      </c>
      <c r="L243" s="19">
        <f>IF(OR(A243&amp;""="",NOT(ISNUMBER(F243))),"",'الإعدادات'!$B$4-F243)</f>
        <v/>
      </c>
      <c r="M243" s="19">
        <f>IF(OR(J243="متأخرة",J243="اليوم"),COUNTIFS($J$6:$J$505,"متأخرة",$E$6:$E$505,"&lt;"&amp;E243)+COUNTIFS($J$6:$J$505,"اليوم",$E$6:$E$505,"&lt;"&amp;E243)+COUNTIFS($E$6:E243,E243&amp;"",$J$6:J243,J243),"")</f>
        <v/>
      </c>
    </row>
    <row r="244">
      <c r="A244" s="5" t="n"/>
      <c r="B244" s="5" t="n"/>
      <c r="C244" s="5" t="n"/>
      <c r="D244" s="16" t="n"/>
      <c r="E244" s="13" t="n"/>
      <c r="F244" s="13" t="n"/>
      <c r="G244" s="5" t="n"/>
      <c r="H244" s="17">
        <f>IF(C244&amp;""="","",IFERROR(VLOOKUP(C244,'الإعدادات'!$A$8:$B$13,2,FALSE),""))</f>
        <v/>
      </c>
      <c r="I244" s="18">
        <f>IF(OR(H244="",NOT(ISNUMBER(D244))),"",ROUND(D244*H244,2))</f>
        <v/>
      </c>
      <c r="J244" s="6">
        <f>IF(A244&amp;""="","",IF(OR(C244="تم",C244="خسارة"),"مغلقة",IF(NOT(ISNUMBER(E244)),"بلا موعد",IF(E244&lt;'الإعدادات'!$B$4,"متأخرة",IF(E244='الإعدادات'!$B$4,"اليوم","قادمة")))))</f>
        <v/>
      </c>
      <c r="K244" s="19">
        <f>IF(OR(J244="متأخرة",J244="اليوم"),'الإعدادات'!$B$4-E244,"")</f>
        <v/>
      </c>
      <c r="L244" s="19">
        <f>IF(OR(A244&amp;""="",NOT(ISNUMBER(F244))),"",'الإعدادات'!$B$4-F244)</f>
        <v/>
      </c>
      <c r="M244" s="19">
        <f>IF(OR(J244="متأخرة",J244="اليوم"),COUNTIFS($J$6:$J$505,"متأخرة",$E$6:$E$505,"&lt;"&amp;E244)+COUNTIFS($J$6:$J$505,"اليوم",$E$6:$E$505,"&lt;"&amp;E244)+COUNTIFS($E$6:E244,E244&amp;"",$J$6:J244,J244),"")</f>
        <v/>
      </c>
    </row>
    <row r="245">
      <c r="A245" s="5" t="n"/>
      <c r="B245" s="5" t="n"/>
      <c r="C245" s="5" t="n"/>
      <c r="D245" s="16" t="n"/>
      <c r="E245" s="13" t="n"/>
      <c r="F245" s="13" t="n"/>
      <c r="G245" s="5" t="n"/>
      <c r="H245" s="17">
        <f>IF(C245&amp;""="","",IFERROR(VLOOKUP(C245,'الإعدادات'!$A$8:$B$13,2,FALSE),""))</f>
        <v/>
      </c>
      <c r="I245" s="18">
        <f>IF(OR(H245="",NOT(ISNUMBER(D245))),"",ROUND(D245*H245,2))</f>
        <v/>
      </c>
      <c r="J245" s="6">
        <f>IF(A245&amp;""="","",IF(OR(C245="تم",C245="خسارة"),"مغلقة",IF(NOT(ISNUMBER(E245)),"بلا موعد",IF(E245&lt;'الإعدادات'!$B$4,"متأخرة",IF(E245='الإعدادات'!$B$4,"اليوم","قادمة")))))</f>
        <v/>
      </c>
      <c r="K245" s="19">
        <f>IF(OR(J245="متأخرة",J245="اليوم"),'الإعدادات'!$B$4-E245,"")</f>
        <v/>
      </c>
      <c r="L245" s="19">
        <f>IF(OR(A245&amp;""="",NOT(ISNUMBER(F245))),"",'الإعدادات'!$B$4-F245)</f>
        <v/>
      </c>
      <c r="M245" s="19">
        <f>IF(OR(J245="متأخرة",J245="اليوم"),COUNTIFS($J$6:$J$505,"متأخرة",$E$6:$E$505,"&lt;"&amp;E245)+COUNTIFS($J$6:$J$505,"اليوم",$E$6:$E$505,"&lt;"&amp;E245)+COUNTIFS($E$6:E245,E245&amp;"",$J$6:J245,J245),"")</f>
        <v/>
      </c>
    </row>
    <row r="246">
      <c r="A246" s="5" t="n"/>
      <c r="B246" s="5" t="n"/>
      <c r="C246" s="5" t="n"/>
      <c r="D246" s="16" t="n"/>
      <c r="E246" s="13" t="n"/>
      <c r="F246" s="13" t="n"/>
      <c r="G246" s="5" t="n"/>
      <c r="H246" s="17">
        <f>IF(C246&amp;""="","",IFERROR(VLOOKUP(C246,'الإعدادات'!$A$8:$B$13,2,FALSE),""))</f>
        <v/>
      </c>
      <c r="I246" s="18">
        <f>IF(OR(H246="",NOT(ISNUMBER(D246))),"",ROUND(D246*H246,2))</f>
        <v/>
      </c>
      <c r="J246" s="6">
        <f>IF(A246&amp;""="","",IF(OR(C246="تم",C246="خسارة"),"مغلقة",IF(NOT(ISNUMBER(E246)),"بلا موعد",IF(E246&lt;'الإعدادات'!$B$4,"متأخرة",IF(E246='الإعدادات'!$B$4,"اليوم","قادمة")))))</f>
        <v/>
      </c>
      <c r="K246" s="19">
        <f>IF(OR(J246="متأخرة",J246="اليوم"),'الإعدادات'!$B$4-E246,"")</f>
        <v/>
      </c>
      <c r="L246" s="19">
        <f>IF(OR(A246&amp;""="",NOT(ISNUMBER(F246))),"",'الإعدادات'!$B$4-F246)</f>
        <v/>
      </c>
      <c r="M246" s="19">
        <f>IF(OR(J246="متأخرة",J246="اليوم"),COUNTIFS($J$6:$J$505,"متأخرة",$E$6:$E$505,"&lt;"&amp;E246)+COUNTIFS($J$6:$J$505,"اليوم",$E$6:$E$505,"&lt;"&amp;E246)+COUNTIFS($E$6:E246,E246&amp;"",$J$6:J246,J246),"")</f>
        <v/>
      </c>
    </row>
    <row r="247">
      <c r="A247" s="5" t="n"/>
      <c r="B247" s="5" t="n"/>
      <c r="C247" s="5" t="n"/>
      <c r="D247" s="16" t="n"/>
      <c r="E247" s="13" t="n"/>
      <c r="F247" s="13" t="n"/>
      <c r="G247" s="5" t="n"/>
      <c r="H247" s="17">
        <f>IF(C247&amp;""="","",IFERROR(VLOOKUP(C247,'الإعدادات'!$A$8:$B$13,2,FALSE),""))</f>
        <v/>
      </c>
      <c r="I247" s="18">
        <f>IF(OR(H247="",NOT(ISNUMBER(D247))),"",ROUND(D247*H247,2))</f>
        <v/>
      </c>
      <c r="J247" s="6">
        <f>IF(A247&amp;""="","",IF(OR(C247="تم",C247="خسارة"),"مغلقة",IF(NOT(ISNUMBER(E247)),"بلا موعد",IF(E247&lt;'الإعدادات'!$B$4,"متأخرة",IF(E247='الإعدادات'!$B$4,"اليوم","قادمة")))))</f>
        <v/>
      </c>
      <c r="K247" s="19">
        <f>IF(OR(J247="متأخرة",J247="اليوم"),'الإعدادات'!$B$4-E247,"")</f>
        <v/>
      </c>
      <c r="L247" s="19">
        <f>IF(OR(A247&amp;""="",NOT(ISNUMBER(F247))),"",'الإعدادات'!$B$4-F247)</f>
        <v/>
      </c>
      <c r="M247" s="19">
        <f>IF(OR(J247="متأخرة",J247="اليوم"),COUNTIFS($J$6:$J$505,"متأخرة",$E$6:$E$505,"&lt;"&amp;E247)+COUNTIFS($J$6:$J$505,"اليوم",$E$6:$E$505,"&lt;"&amp;E247)+COUNTIFS($E$6:E247,E247&amp;"",$J$6:J247,J247),"")</f>
        <v/>
      </c>
    </row>
    <row r="248">
      <c r="A248" s="5" t="n"/>
      <c r="B248" s="5" t="n"/>
      <c r="C248" s="5" t="n"/>
      <c r="D248" s="16" t="n"/>
      <c r="E248" s="13" t="n"/>
      <c r="F248" s="13" t="n"/>
      <c r="G248" s="5" t="n"/>
      <c r="H248" s="17">
        <f>IF(C248&amp;""="","",IFERROR(VLOOKUP(C248,'الإعدادات'!$A$8:$B$13,2,FALSE),""))</f>
        <v/>
      </c>
      <c r="I248" s="18">
        <f>IF(OR(H248="",NOT(ISNUMBER(D248))),"",ROUND(D248*H248,2))</f>
        <v/>
      </c>
      <c r="J248" s="6">
        <f>IF(A248&amp;""="","",IF(OR(C248="تم",C248="خسارة"),"مغلقة",IF(NOT(ISNUMBER(E248)),"بلا موعد",IF(E248&lt;'الإعدادات'!$B$4,"متأخرة",IF(E248='الإعدادات'!$B$4,"اليوم","قادمة")))))</f>
        <v/>
      </c>
      <c r="K248" s="19">
        <f>IF(OR(J248="متأخرة",J248="اليوم"),'الإعدادات'!$B$4-E248,"")</f>
        <v/>
      </c>
      <c r="L248" s="19">
        <f>IF(OR(A248&amp;""="",NOT(ISNUMBER(F248))),"",'الإعدادات'!$B$4-F248)</f>
        <v/>
      </c>
      <c r="M248" s="19">
        <f>IF(OR(J248="متأخرة",J248="اليوم"),COUNTIFS($J$6:$J$505,"متأخرة",$E$6:$E$505,"&lt;"&amp;E248)+COUNTIFS($J$6:$J$505,"اليوم",$E$6:$E$505,"&lt;"&amp;E248)+COUNTIFS($E$6:E248,E248&amp;"",$J$6:J248,J248),"")</f>
        <v/>
      </c>
    </row>
    <row r="249">
      <c r="A249" s="5" t="n"/>
      <c r="B249" s="5" t="n"/>
      <c r="C249" s="5" t="n"/>
      <c r="D249" s="16" t="n"/>
      <c r="E249" s="13" t="n"/>
      <c r="F249" s="13" t="n"/>
      <c r="G249" s="5" t="n"/>
      <c r="H249" s="17">
        <f>IF(C249&amp;""="","",IFERROR(VLOOKUP(C249,'الإعدادات'!$A$8:$B$13,2,FALSE),""))</f>
        <v/>
      </c>
      <c r="I249" s="18">
        <f>IF(OR(H249="",NOT(ISNUMBER(D249))),"",ROUND(D249*H249,2))</f>
        <v/>
      </c>
      <c r="J249" s="6">
        <f>IF(A249&amp;""="","",IF(OR(C249="تم",C249="خسارة"),"مغلقة",IF(NOT(ISNUMBER(E249)),"بلا موعد",IF(E249&lt;'الإعدادات'!$B$4,"متأخرة",IF(E249='الإعدادات'!$B$4,"اليوم","قادمة")))))</f>
        <v/>
      </c>
      <c r="K249" s="19">
        <f>IF(OR(J249="متأخرة",J249="اليوم"),'الإعدادات'!$B$4-E249,"")</f>
        <v/>
      </c>
      <c r="L249" s="19">
        <f>IF(OR(A249&amp;""="",NOT(ISNUMBER(F249))),"",'الإعدادات'!$B$4-F249)</f>
        <v/>
      </c>
      <c r="M249" s="19">
        <f>IF(OR(J249="متأخرة",J249="اليوم"),COUNTIFS($J$6:$J$505,"متأخرة",$E$6:$E$505,"&lt;"&amp;E249)+COUNTIFS($J$6:$J$505,"اليوم",$E$6:$E$505,"&lt;"&amp;E249)+COUNTIFS($E$6:E249,E249&amp;"",$J$6:J249,J249),"")</f>
        <v/>
      </c>
    </row>
    <row r="250">
      <c r="A250" s="5" t="n"/>
      <c r="B250" s="5" t="n"/>
      <c r="C250" s="5" t="n"/>
      <c r="D250" s="16" t="n"/>
      <c r="E250" s="13" t="n"/>
      <c r="F250" s="13" t="n"/>
      <c r="G250" s="5" t="n"/>
      <c r="H250" s="17">
        <f>IF(C250&amp;""="","",IFERROR(VLOOKUP(C250,'الإعدادات'!$A$8:$B$13,2,FALSE),""))</f>
        <v/>
      </c>
      <c r="I250" s="18">
        <f>IF(OR(H250="",NOT(ISNUMBER(D250))),"",ROUND(D250*H250,2))</f>
        <v/>
      </c>
      <c r="J250" s="6">
        <f>IF(A250&amp;""="","",IF(OR(C250="تم",C250="خسارة"),"مغلقة",IF(NOT(ISNUMBER(E250)),"بلا موعد",IF(E250&lt;'الإعدادات'!$B$4,"متأخرة",IF(E250='الإعدادات'!$B$4,"اليوم","قادمة")))))</f>
        <v/>
      </c>
      <c r="K250" s="19">
        <f>IF(OR(J250="متأخرة",J250="اليوم"),'الإعدادات'!$B$4-E250,"")</f>
        <v/>
      </c>
      <c r="L250" s="19">
        <f>IF(OR(A250&amp;""="",NOT(ISNUMBER(F250))),"",'الإعدادات'!$B$4-F250)</f>
        <v/>
      </c>
      <c r="M250" s="19">
        <f>IF(OR(J250="متأخرة",J250="اليوم"),COUNTIFS($J$6:$J$505,"متأخرة",$E$6:$E$505,"&lt;"&amp;E250)+COUNTIFS($J$6:$J$505,"اليوم",$E$6:$E$505,"&lt;"&amp;E250)+COUNTIFS($E$6:E250,E250&amp;"",$J$6:J250,J250),"")</f>
        <v/>
      </c>
    </row>
    <row r="251">
      <c r="A251" s="5" t="n"/>
      <c r="B251" s="5" t="n"/>
      <c r="C251" s="5" t="n"/>
      <c r="D251" s="16" t="n"/>
      <c r="E251" s="13" t="n"/>
      <c r="F251" s="13" t="n"/>
      <c r="G251" s="5" t="n"/>
      <c r="H251" s="17">
        <f>IF(C251&amp;""="","",IFERROR(VLOOKUP(C251,'الإعدادات'!$A$8:$B$13,2,FALSE),""))</f>
        <v/>
      </c>
      <c r="I251" s="18">
        <f>IF(OR(H251="",NOT(ISNUMBER(D251))),"",ROUND(D251*H251,2))</f>
        <v/>
      </c>
      <c r="J251" s="6">
        <f>IF(A251&amp;""="","",IF(OR(C251="تم",C251="خسارة"),"مغلقة",IF(NOT(ISNUMBER(E251)),"بلا موعد",IF(E251&lt;'الإعدادات'!$B$4,"متأخرة",IF(E251='الإعدادات'!$B$4,"اليوم","قادمة")))))</f>
        <v/>
      </c>
      <c r="K251" s="19">
        <f>IF(OR(J251="متأخرة",J251="اليوم"),'الإعدادات'!$B$4-E251,"")</f>
        <v/>
      </c>
      <c r="L251" s="19">
        <f>IF(OR(A251&amp;""="",NOT(ISNUMBER(F251))),"",'الإعدادات'!$B$4-F251)</f>
        <v/>
      </c>
      <c r="M251" s="19">
        <f>IF(OR(J251="متأخرة",J251="اليوم"),COUNTIFS($J$6:$J$505,"متأخرة",$E$6:$E$505,"&lt;"&amp;E251)+COUNTIFS($J$6:$J$505,"اليوم",$E$6:$E$505,"&lt;"&amp;E251)+COUNTIFS($E$6:E251,E251&amp;"",$J$6:J251,J251),"")</f>
        <v/>
      </c>
    </row>
    <row r="252">
      <c r="A252" s="5" t="n"/>
      <c r="B252" s="5" t="n"/>
      <c r="C252" s="5" t="n"/>
      <c r="D252" s="16" t="n"/>
      <c r="E252" s="13" t="n"/>
      <c r="F252" s="13" t="n"/>
      <c r="G252" s="5" t="n"/>
      <c r="H252" s="17">
        <f>IF(C252&amp;""="","",IFERROR(VLOOKUP(C252,'الإعدادات'!$A$8:$B$13,2,FALSE),""))</f>
        <v/>
      </c>
      <c r="I252" s="18">
        <f>IF(OR(H252="",NOT(ISNUMBER(D252))),"",ROUND(D252*H252,2))</f>
        <v/>
      </c>
      <c r="J252" s="6">
        <f>IF(A252&amp;""="","",IF(OR(C252="تم",C252="خسارة"),"مغلقة",IF(NOT(ISNUMBER(E252)),"بلا موعد",IF(E252&lt;'الإعدادات'!$B$4,"متأخرة",IF(E252='الإعدادات'!$B$4,"اليوم","قادمة")))))</f>
        <v/>
      </c>
      <c r="K252" s="19">
        <f>IF(OR(J252="متأخرة",J252="اليوم"),'الإعدادات'!$B$4-E252,"")</f>
        <v/>
      </c>
      <c r="L252" s="19">
        <f>IF(OR(A252&amp;""="",NOT(ISNUMBER(F252))),"",'الإعدادات'!$B$4-F252)</f>
        <v/>
      </c>
      <c r="M252" s="19">
        <f>IF(OR(J252="متأخرة",J252="اليوم"),COUNTIFS($J$6:$J$505,"متأخرة",$E$6:$E$505,"&lt;"&amp;E252)+COUNTIFS($J$6:$J$505,"اليوم",$E$6:$E$505,"&lt;"&amp;E252)+COUNTIFS($E$6:E252,E252&amp;"",$J$6:J252,J252),"")</f>
        <v/>
      </c>
    </row>
    <row r="253">
      <c r="A253" s="5" t="n"/>
      <c r="B253" s="5" t="n"/>
      <c r="C253" s="5" t="n"/>
      <c r="D253" s="16" t="n"/>
      <c r="E253" s="13" t="n"/>
      <c r="F253" s="13" t="n"/>
      <c r="G253" s="5" t="n"/>
      <c r="H253" s="17">
        <f>IF(C253&amp;""="","",IFERROR(VLOOKUP(C253,'الإعدادات'!$A$8:$B$13,2,FALSE),""))</f>
        <v/>
      </c>
      <c r="I253" s="18">
        <f>IF(OR(H253="",NOT(ISNUMBER(D253))),"",ROUND(D253*H253,2))</f>
        <v/>
      </c>
      <c r="J253" s="6">
        <f>IF(A253&amp;""="","",IF(OR(C253="تم",C253="خسارة"),"مغلقة",IF(NOT(ISNUMBER(E253)),"بلا موعد",IF(E253&lt;'الإعدادات'!$B$4,"متأخرة",IF(E253='الإعدادات'!$B$4,"اليوم","قادمة")))))</f>
        <v/>
      </c>
      <c r="K253" s="19">
        <f>IF(OR(J253="متأخرة",J253="اليوم"),'الإعدادات'!$B$4-E253,"")</f>
        <v/>
      </c>
      <c r="L253" s="19">
        <f>IF(OR(A253&amp;""="",NOT(ISNUMBER(F253))),"",'الإعدادات'!$B$4-F253)</f>
        <v/>
      </c>
      <c r="M253" s="19">
        <f>IF(OR(J253="متأخرة",J253="اليوم"),COUNTIFS($J$6:$J$505,"متأخرة",$E$6:$E$505,"&lt;"&amp;E253)+COUNTIFS($J$6:$J$505,"اليوم",$E$6:$E$505,"&lt;"&amp;E253)+COUNTIFS($E$6:E253,E253&amp;"",$J$6:J253,J253),"")</f>
        <v/>
      </c>
    </row>
    <row r="254">
      <c r="A254" s="5" t="n"/>
      <c r="B254" s="5" t="n"/>
      <c r="C254" s="5" t="n"/>
      <c r="D254" s="16" t="n"/>
      <c r="E254" s="13" t="n"/>
      <c r="F254" s="13" t="n"/>
      <c r="G254" s="5" t="n"/>
      <c r="H254" s="17">
        <f>IF(C254&amp;""="","",IFERROR(VLOOKUP(C254,'الإعدادات'!$A$8:$B$13,2,FALSE),""))</f>
        <v/>
      </c>
      <c r="I254" s="18">
        <f>IF(OR(H254="",NOT(ISNUMBER(D254))),"",ROUND(D254*H254,2))</f>
        <v/>
      </c>
      <c r="J254" s="6">
        <f>IF(A254&amp;""="","",IF(OR(C254="تم",C254="خسارة"),"مغلقة",IF(NOT(ISNUMBER(E254)),"بلا موعد",IF(E254&lt;'الإعدادات'!$B$4,"متأخرة",IF(E254='الإعدادات'!$B$4,"اليوم","قادمة")))))</f>
        <v/>
      </c>
      <c r="K254" s="19">
        <f>IF(OR(J254="متأخرة",J254="اليوم"),'الإعدادات'!$B$4-E254,"")</f>
        <v/>
      </c>
      <c r="L254" s="19">
        <f>IF(OR(A254&amp;""="",NOT(ISNUMBER(F254))),"",'الإعدادات'!$B$4-F254)</f>
        <v/>
      </c>
      <c r="M254" s="19">
        <f>IF(OR(J254="متأخرة",J254="اليوم"),COUNTIFS($J$6:$J$505,"متأخرة",$E$6:$E$505,"&lt;"&amp;E254)+COUNTIFS($J$6:$J$505,"اليوم",$E$6:$E$505,"&lt;"&amp;E254)+COUNTIFS($E$6:E254,E254&amp;"",$J$6:J254,J254),"")</f>
        <v/>
      </c>
    </row>
    <row r="255">
      <c r="A255" s="5" t="n"/>
      <c r="B255" s="5" t="n"/>
      <c r="C255" s="5" t="n"/>
      <c r="D255" s="16" t="n"/>
      <c r="E255" s="13" t="n"/>
      <c r="F255" s="13" t="n"/>
      <c r="G255" s="5" t="n"/>
      <c r="H255" s="17">
        <f>IF(C255&amp;""="","",IFERROR(VLOOKUP(C255,'الإعدادات'!$A$8:$B$13,2,FALSE),""))</f>
        <v/>
      </c>
      <c r="I255" s="18">
        <f>IF(OR(H255="",NOT(ISNUMBER(D255))),"",ROUND(D255*H255,2))</f>
        <v/>
      </c>
      <c r="J255" s="6">
        <f>IF(A255&amp;""="","",IF(OR(C255="تم",C255="خسارة"),"مغلقة",IF(NOT(ISNUMBER(E255)),"بلا موعد",IF(E255&lt;'الإعدادات'!$B$4,"متأخرة",IF(E255='الإعدادات'!$B$4,"اليوم","قادمة")))))</f>
        <v/>
      </c>
      <c r="K255" s="19">
        <f>IF(OR(J255="متأخرة",J255="اليوم"),'الإعدادات'!$B$4-E255,"")</f>
        <v/>
      </c>
      <c r="L255" s="19">
        <f>IF(OR(A255&amp;""="",NOT(ISNUMBER(F255))),"",'الإعدادات'!$B$4-F255)</f>
        <v/>
      </c>
      <c r="M255" s="19">
        <f>IF(OR(J255="متأخرة",J255="اليوم"),COUNTIFS($J$6:$J$505,"متأخرة",$E$6:$E$505,"&lt;"&amp;E255)+COUNTIFS($J$6:$J$505,"اليوم",$E$6:$E$505,"&lt;"&amp;E255)+COUNTIFS($E$6:E255,E255&amp;"",$J$6:J255,J255),"")</f>
        <v/>
      </c>
    </row>
    <row r="256">
      <c r="A256" s="5" t="n"/>
      <c r="B256" s="5" t="n"/>
      <c r="C256" s="5" t="n"/>
      <c r="D256" s="16" t="n"/>
      <c r="E256" s="13" t="n"/>
      <c r="F256" s="13" t="n"/>
      <c r="G256" s="5" t="n"/>
      <c r="H256" s="17">
        <f>IF(C256&amp;""="","",IFERROR(VLOOKUP(C256,'الإعدادات'!$A$8:$B$13,2,FALSE),""))</f>
        <v/>
      </c>
      <c r="I256" s="18">
        <f>IF(OR(H256="",NOT(ISNUMBER(D256))),"",ROUND(D256*H256,2))</f>
        <v/>
      </c>
      <c r="J256" s="6">
        <f>IF(A256&amp;""="","",IF(OR(C256="تم",C256="خسارة"),"مغلقة",IF(NOT(ISNUMBER(E256)),"بلا موعد",IF(E256&lt;'الإعدادات'!$B$4,"متأخرة",IF(E256='الإعدادات'!$B$4,"اليوم","قادمة")))))</f>
        <v/>
      </c>
      <c r="K256" s="19">
        <f>IF(OR(J256="متأخرة",J256="اليوم"),'الإعدادات'!$B$4-E256,"")</f>
        <v/>
      </c>
      <c r="L256" s="19">
        <f>IF(OR(A256&amp;""="",NOT(ISNUMBER(F256))),"",'الإعدادات'!$B$4-F256)</f>
        <v/>
      </c>
      <c r="M256" s="19">
        <f>IF(OR(J256="متأخرة",J256="اليوم"),COUNTIFS($J$6:$J$505,"متأخرة",$E$6:$E$505,"&lt;"&amp;E256)+COUNTIFS($J$6:$J$505,"اليوم",$E$6:$E$505,"&lt;"&amp;E256)+COUNTIFS($E$6:E256,E256&amp;"",$J$6:J256,J256),"")</f>
        <v/>
      </c>
    </row>
    <row r="257">
      <c r="A257" s="5" t="n"/>
      <c r="B257" s="5" t="n"/>
      <c r="C257" s="5" t="n"/>
      <c r="D257" s="16" t="n"/>
      <c r="E257" s="13" t="n"/>
      <c r="F257" s="13" t="n"/>
      <c r="G257" s="5" t="n"/>
      <c r="H257" s="17">
        <f>IF(C257&amp;""="","",IFERROR(VLOOKUP(C257,'الإعدادات'!$A$8:$B$13,2,FALSE),""))</f>
        <v/>
      </c>
      <c r="I257" s="18">
        <f>IF(OR(H257="",NOT(ISNUMBER(D257))),"",ROUND(D257*H257,2))</f>
        <v/>
      </c>
      <c r="J257" s="6">
        <f>IF(A257&amp;""="","",IF(OR(C257="تم",C257="خسارة"),"مغلقة",IF(NOT(ISNUMBER(E257)),"بلا موعد",IF(E257&lt;'الإعدادات'!$B$4,"متأخرة",IF(E257='الإعدادات'!$B$4,"اليوم","قادمة")))))</f>
        <v/>
      </c>
      <c r="K257" s="19">
        <f>IF(OR(J257="متأخرة",J257="اليوم"),'الإعدادات'!$B$4-E257,"")</f>
        <v/>
      </c>
      <c r="L257" s="19">
        <f>IF(OR(A257&amp;""="",NOT(ISNUMBER(F257))),"",'الإعدادات'!$B$4-F257)</f>
        <v/>
      </c>
      <c r="M257" s="19">
        <f>IF(OR(J257="متأخرة",J257="اليوم"),COUNTIFS($J$6:$J$505,"متأخرة",$E$6:$E$505,"&lt;"&amp;E257)+COUNTIFS($J$6:$J$505,"اليوم",$E$6:$E$505,"&lt;"&amp;E257)+COUNTIFS($E$6:E257,E257&amp;"",$J$6:J257,J257),"")</f>
        <v/>
      </c>
    </row>
    <row r="258">
      <c r="A258" s="5" t="n"/>
      <c r="B258" s="5" t="n"/>
      <c r="C258" s="5" t="n"/>
      <c r="D258" s="16" t="n"/>
      <c r="E258" s="13" t="n"/>
      <c r="F258" s="13" t="n"/>
      <c r="G258" s="5" t="n"/>
      <c r="H258" s="17">
        <f>IF(C258&amp;""="","",IFERROR(VLOOKUP(C258,'الإعدادات'!$A$8:$B$13,2,FALSE),""))</f>
        <v/>
      </c>
      <c r="I258" s="18">
        <f>IF(OR(H258="",NOT(ISNUMBER(D258))),"",ROUND(D258*H258,2))</f>
        <v/>
      </c>
      <c r="J258" s="6">
        <f>IF(A258&amp;""="","",IF(OR(C258="تم",C258="خسارة"),"مغلقة",IF(NOT(ISNUMBER(E258)),"بلا موعد",IF(E258&lt;'الإعدادات'!$B$4,"متأخرة",IF(E258='الإعدادات'!$B$4,"اليوم","قادمة")))))</f>
        <v/>
      </c>
      <c r="K258" s="19">
        <f>IF(OR(J258="متأخرة",J258="اليوم"),'الإعدادات'!$B$4-E258,"")</f>
        <v/>
      </c>
      <c r="L258" s="19">
        <f>IF(OR(A258&amp;""="",NOT(ISNUMBER(F258))),"",'الإعدادات'!$B$4-F258)</f>
        <v/>
      </c>
      <c r="M258" s="19">
        <f>IF(OR(J258="متأخرة",J258="اليوم"),COUNTIFS($J$6:$J$505,"متأخرة",$E$6:$E$505,"&lt;"&amp;E258)+COUNTIFS($J$6:$J$505,"اليوم",$E$6:$E$505,"&lt;"&amp;E258)+COUNTIFS($E$6:E258,E258&amp;"",$J$6:J258,J258),"")</f>
        <v/>
      </c>
    </row>
    <row r="259">
      <c r="A259" s="5" t="n"/>
      <c r="B259" s="5" t="n"/>
      <c r="C259" s="5" t="n"/>
      <c r="D259" s="16" t="n"/>
      <c r="E259" s="13" t="n"/>
      <c r="F259" s="13" t="n"/>
      <c r="G259" s="5" t="n"/>
      <c r="H259" s="17">
        <f>IF(C259&amp;""="","",IFERROR(VLOOKUP(C259,'الإعدادات'!$A$8:$B$13,2,FALSE),""))</f>
        <v/>
      </c>
      <c r="I259" s="18">
        <f>IF(OR(H259="",NOT(ISNUMBER(D259))),"",ROUND(D259*H259,2))</f>
        <v/>
      </c>
      <c r="J259" s="6">
        <f>IF(A259&amp;""="","",IF(OR(C259="تم",C259="خسارة"),"مغلقة",IF(NOT(ISNUMBER(E259)),"بلا موعد",IF(E259&lt;'الإعدادات'!$B$4,"متأخرة",IF(E259='الإعدادات'!$B$4,"اليوم","قادمة")))))</f>
        <v/>
      </c>
      <c r="K259" s="19">
        <f>IF(OR(J259="متأخرة",J259="اليوم"),'الإعدادات'!$B$4-E259,"")</f>
        <v/>
      </c>
      <c r="L259" s="19">
        <f>IF(OR(A259&amp;""="",NOT(ISNUMBER(F259))),"",'الإعدادات'!$B$4-F259)</f>
        <v/>
      </c>
      <c r="M259" s="19">
        <f>IF(OR(J259="متأخرة",J259="اليوم"),COUNTIFS($J$6:$J$505,"متأخرة",$E$6:$E$505,"&lt;"&amp;E259)+COUNTIFS($J$6:$J$505,"اليوم",$E$6:$E$505,"&lt;"&amp;E259)+COUNTIFS($E$6:E259,E259&amp;"",$J$6:J259,J259),"")</f>
        <v/>
      </c>
    </row>
    <row r="260">
      <c r="A260" s="5" t="n"/>
      <c r="B260" s="5" t="n"/>
      <c r="C260" s="5" t="n"/>
      <c r="D260" s="16" t="n"/>
      <c r="E260" s="13" t="n"/>
      <c r="F260" s="13" t="n"/>
      <c r="G260" s="5" t="n"/>
      <c r="H260" s="17">
        <f>IF(C260&amp;""="","",IFERROR(VLOOKUP(C260,'الإعدادات'!$A$8:$B$13,2,FALSE),""))</f>
        <v/>
      </c>
      <c r="I260" s="18">
        <f>IF(OR(H260="",NOT(ISNUMBER(D260))),"",ROUND(D260*H260,2))</f>
        <v/>
      </c>
      <c r="J260" s="6">
        <f>IF(A260&amp;""="","",IF(OR(C260="تم",C260="خسارة"),"مغلقة",IF(NOT(ISNUMBER(E260)),"بلا موعد",IF(E260&lt;'الإعدادات'!$B$4,"متأخرة",IF(E260='الإعدادات'!$B$4,"اليوم","قادمة")))))</f>
        <v/>
      </c>
      <c r="K260" s="19">
        <f>IF(OR(J260="متأخرة",J260="اليوم"),'الإعدادات'!$B$4-E260,"")</f>
        <v/>
      </c>
      <c r="L260" s="19">
        <f>IF(OR(A260&amp;""="",NOT(ISNUMBER(F260))),"",'الإعدادات'!$B$4-F260)</f>
        <v/>
      </c>
      <c r="M260" s="19">
        <f>IF(OR(J260="متأخرة",J260="اليوم"),COUNTIFS($J$6:$J$505,"متأخرة",$E$6:$E$505,"&lt;"&amp;E260)+COUNTIFS($J$6:$J$505,"اليوم",$E$6:$E$505,"&lt;"&amp;E260)+COUNTIFS($E$6:E260,E260&amp;"",$J$6:J260,J260),"")</f>
        <v/>
      </c>
    </row>
    <row r="261">
      <c r="A261" s="5" t="n"/>
      <c r="B261" s="5" t="n"/>
      <c r="C261" s="5" t="n"/>
      <c r="D261" s="16" t="n"/>
      <c r="E261" s="13" t="n"/>
      <c r="F261" s="13" t="n"/>
      <c r="G261" s="5" t="n"/>
      <c r="H261" s="17">
        <f>IF(C261&amp;""="","",IFERROR(VLOOKUP(C261,'الإعدادات'!$A$8:$B$13,2,FALSE),""))</f>
        <v/>
      </c>
      <c r="I261" s="18">
        <f>IF(OR(H261="",NOT(ISNUMBER(D261))),"",ROUND(D261*H261,2))</f>
        <v/>
      </c>
      <c r="J261" s="6">
        <f>IF(A261&amp;""="","",IF(OR(C261="تم",C261="خسارة"),"مغلقة",IF(NOT(ISNUMBER(E261)),"بلا موعد",IF(E261&lt;'الإعدادات'!$B$4,"متأخرة",IF(E261='الإعدادات'!$B$4,"اليوم","قادمة")))))</f>
        <v/>
      </c>
      <c r="K261" s="19">
        <f>IF(OR(J261="متأخرة",J261="اليوم"),'الإعدادات'!$B$4-E261,"")</f>
        <v/>
      </c>
      <c r="L261" s="19">
        <f>IF(OR(A261&amp;""="",NOT(ISNUMBER(F261))),"",'الإعدادات'!$B$4-F261)</f>
        <v/>
      </c>
      <c r="M261" s="19">
        <f>IF(OR(J261="متأخرة",J261="اليوم"),COUNTIFS($J$6:$J$505,"متأخرة",$E$6:$E$505,"&lt;"&amp;E261)+COUNTIFS($J$6:$J$505,"اليوم",$E$6:$E$505,"&lt;"&amp;E261)+COUNTIFS($E$6:E261,E261&amp;"",$J$6:J261,J261),"")</f>
        <v/>
      </c>
    </row>
    <row r="262">
      <c r="A262" s="5" t="n"/>
      <c r="B262" s="5" t="n"/>
      <c r="C262" s="5" t="n"/>
      <c r="D262" s="16" t="n"/>
      <c r="E262" s="13" t="n"/>
      <c r="F262" s="13" t="n"/>
      <c r="G262" s="5" t="n"/>
      <c r="H262" s="17">
        <f>IF(C262&amp;""="","",IFERROR(VLOOKUP(C262,'الإعدادات'!$A$8:$B$13,2,FALSE),""))</f>
        <v/>
      </c>
      <c r="I262" s="18">
        <f>IF(OR(H262="",NOT(ISNUMBER(D262))),"",ROUND(D262*H262,2))</f>
        <v/>
      </c>
      <c r="J262" s="6">
        <f>IF(A262&amp;""="","",IF(OR(C262="تم",C262="خسارة"),"مغلقة",IF(NOT(ISNUMBER(E262)),"بلا موعد",IF(E262&lt;'الإعدادات'!$B$4,"متأخرة",IF(E262='الإعدادات'!$B$4,"اليوم","قادمة")))))</f>
        <v/>
      </c>
      <c r="K262" s="19">
        <f>IF(OR(J262="متأخرة",J262="اليوم"),'الإعدادات'!$B$4-E262,"")</f>
        <v/>
      </c>
      <c r="L262" s="19">
        <f>IF(OR(A262&amp;""="",NOT(ISNUMBER(F262))),"",'الإعدادات'!$B$4-F262)</f>
        <v/>
      </c>
      <c r="M262" s="19">
        <f>IF(OR(J262="متأخرة",J262="اليوم"),COUNTIFS($J$6:$J$505,"متأخرة",$E$6:$E$505,"&lt;"&amp;E262)+COUNTIFS($J$6:$J$505,"اليوم",$E$6:$E$505,"&lt;"&amp;E262)+COUNTIFS($E$6:E262,E262&amp;"",$J$6:J262,J262),"")</f>
        <v/>
      </c>
    </row>
    <row r="263">
      <c r="A263" s="5" t="n"/>
      <c r="B263" s="5" t="n"/>
      <c r="C263" s="5" t="n"/>
      <c r="D263" s="16" t="n"/>
      <c r="E263" s="13" t="n"/>
      <c r="F263" s="13" t="n"/>
      <c r="G263" s="5" t="n"/>
      <c r="H263" s="17">
        <f>IF(C263&amp;""="","",IFERROR(VLOOKUP(C263,'الإعدادات'!$A$8:$B$13,2,FALSE),""))</f>
        <v/>
      </c>
      <c r="I263" s="18">
        <f>IF(OR(H263="",NOT(ISNUMBER(D263))),"",ROUND(D263*H263,2))</f>
        <v/>
      </c>
      <c r="J263" s="6">
        <f>IF(A263&amp;""="","",IF(OR(C263="تم",C263="خسارة"),"مغلقة",IF(NOT(ISNUMBER(E263)),"بلا موعد",IF(E263&lt;'الإعدادات'!$B$4,"متأخرة",IF(E263='الإعدادات'!$B$4,"اليوم","قادمة")))))</f>
        <v/>
      </c>
      <c r="K263" s="19">
        <f>IF(OR(J263="متأخرة",J263="اليوم"),'الإعدادات'!$B$4-E263,"")</f>
        <v/>
      </c>
      <c r="L263" s="19">
        <f>IF(OR(A263&amp;""="",NOT(ISNUMBER(F263))),"",'الإعدادات'!$B$4-F263)</f>
        <v/>
      </c>
      <c r="M263" s="19">
        <f>IF(OR(J263="متأخرة",J263="اليوم"),COUNTIFS($J$6:$J$505,"متأخرة",$E$6:$E$505,"&lt;"&amp;E263)+COUNTIFS($J$6:$J$505,"اليوم",$E$6:$E$505,"&lt;"&amp;E263)+COUNTIFS($E$6:E263,E263&amp;"",$J$6:J263,J263),"")</f>
        <v/>
      </c>
    </row>
    <row r="264">
      <c r="A264" s="5" t="n"/>
      <c r="B264" s="5" t="n"/>
      <c r="C264" s="5" t="n"/>
      <c r="D264" s="16" t="n"/>
      <c r="E264" s="13" t="n"/>
      <c r="F264" s="13" t="n"/>
      <c r="G264" s="5" t="n"/>
      <c r="H264" s="17">
        <f>IF(C264&amp;""="","",IFERROR(VLOOKUP(C264,'الإعدادات'!$A$8:$B$13,2,FALSE),""))</f>
        <v/>
      </c>
      <c r="I264" s="18">
        <f>IF(OR(H264="",NOT(ISNUMBER(D264))),"",ROUND(D264*H264,2))</f>
        <v/>
      </c>
      <c r="J264" s="6">
        <f>IF(A264&amp;""="","",IF(OR(C264="تم",C264="خسارة"),"مغلقة",IF(NOT(ISNUMBER(E264)),"بلا موعد",IF(E264&lt;'الإعدادات'!$B$4,"متأخرة",IF(E264='الإعدادات'!$B$4,"اليوم","قادمة")))))</f>
        <v/>
      </c>
      <c r="K264" s="19">
        <f>IF(OR(J264="متأخرة",J264="اليوم"),'الإعدادات'!$B$4-E264,"")</f>
        <v/>
      </c>
      <c r="L264" s="19">
        <f>IF(OR(A264&amp;""="",NOT(ISNUMBER(F264))),"",'الإعدادات'!$B$4-F264)</f>
        <v/>
      </c>
      <c r="M264" s="19">
        <f>IF(OR(J264="متأخرة",J264="اليوم"),COUNTIFS($J$6:$J$505,"متأخرة",$E$6:$E$505,"&lt;"&amp;E264)+COUNTIFS($J$6:$J$505,"اليوم",$E$6:$E$505,"&lt;"&amp;E264)+COUNTIFS($E$6:E264,E264&amp;"",$J$6:J264,J264),"")</f>
        <v/>
      </c>
    </row>
    <row r="265">
      <c r="A265" s="5" t="n"/>
      <c r="B265" s="5" t="n"/>
      <c r="C265" s="5" t="n"/>
      <c r="D265" s="16" t="n"/>
      <c r="E265" s="13" t="n"/>
      <c r="F265" s="13" t="n"/>
      <c r="G265" s="5" t="n"/>
      <c r="H265" s="17">
        <f>IF(C265&amp;""="","",IFERROR(VLOOKUP(C265,'الإعدادات'!$A$8:$B$13,2,FALSE),""))</f>
        <v/>
      </c>
      <c r="I265" s="18">
        <f>IF(OR(H265="",NOT(ISNUMBER(D265))),"",ROUND(D265*H265,2))</f>
        <v/>
      </c>
      <c r="J265" s="6">
        <f>IF(A265&amp;""="","",IF(OR(C265="تم",C265="خسارة"),"مغلقة",IF(NOT(ISNUMBER(E265)),"بلا موعد",IF(E265&lt;'الإعدادات'!$B$4,"متأخرة",IF(E265='الإعدادات'!$B$4,"اليوم","قادمة")))))</f>
        <v/>
      </c>
      <c r="K265" s="19">
        <f>IF(OR(J265="متأخرة",J265="اليوم"),'الإعدادات'!$B$4-E265,"")</f>
        <v/>
      </c>
      <c r="L265" s="19">
        <f>IF(OR(A265&amp;""="",NOT(ISNUMBER(F265))),"",'الإعدادات'!$B$4-F265)</f>
        <v/>
      </c>
      <c r="M265" s="19">
        <f>IF(OR(J265="متأخرة",J265="اليوم"),COUNTIFS($J$6:$J$505,"متأخرة",$E$6:$E$505,"&lt;"&amp;E265)+COUNTIFS($J$6:$J$505,"اليوم",$E$6:$E$505,"&lt;"&amp;E265)+COUNTIFS($E$6:E265,E265&amp;"",$J$6:J265,J265),"")</f>
        <v/>
      </c>
    </row>
    <row r="266">
      <c r="A266" s="5" t="n"/>
      <c r="B266" s="5" t="n"/>
      <c r="C266" s="5" t="n"/>
      <c r="D266" s="16" t="n"/>
      <c r="E266" s="13" t="n"/>
      <c r="F266" s="13" t="n"/>
      <c r="G266" s="5" t="n"/>
      <c r="H266" s="17">
        <f>IF(C266&amp;""="","",IFERROR(VLOOKUP(C266,'الإعدادات'!$A$8:$B$13,2,FALSE),""))</f>
        <v/>
      </c>
      <c r="I266" s="18">
        <f>IF(OR(H266="",NOT(ISNUMBER(D266))),"",ROUND(D266*H266,2))</f>
        <v/>
      </c>
      <c r="J266" s="6">
        <f>IF(A266&amp;""="","",IF(OR(C266="تم",C266="خسارة"),"مغلقة",IF(NOT(ISNUMBER(E266)),"بلا موعد",IF(E266&lt;'الإعدادات'!$B$4,"متأخرة",IF(E266='الإعدادات'!$B$4,"اليوم","قادمة")))))</f>
        <v/>
      </c>
      <c r="K266" s="19">
        <f>IF(OR(J266="متأخرة",J266="اليوم"),'الإعدادات'!$B$4-E266,"")</f>
        <v/>
      </c>
      <c r="L266" s="19">
        <f>IF(OR(A266&amp;""="",NOT(ISNUMBER(F266))),"",'الإعدادات'!$B$4-F266)</f>
        <v/>
      </c>
      <c r="M266" s="19">
        <f>IF(OR(J266="متأخرة",J266="اليوم"),COUNTIFS($J$6:$J$505,"متأخرة",$E$6:$E$505,"&lt;"&amp;E266)+COUNTIFS($J$6:$J$505,"اليوم",$E$6:$E$505,"&lt;"&amp;E266)+COUNTIFS($E$6:E266,E266&amp;"",$J$6:J266,J266),"")</f>
        <v/>
      </c>
    </row>
    <row r="267">
      <c r="A267" s="5" t="n"/>
      <c r="B267" s="5" t="n"/>
      <c r="C267" s="5" t="n"/>
      <c r="D267" s="16" t="n"/>
      <c r="E267" s="13" t="n"/>
      <c r="F267" s="13" t="n"/>
      <c r="G267" s="5" t="n"/>
      <c r="H267" s="17">
        <f>IF(C267&amp;""="","",IFERROR(VLOOKUP(C267,'الإعدادات'!$A$8:$B$13,2,FALSE),""))</f>
        <v/>
      </c>
      <c r="I267" s="18">
        <f>IF(OR(H267="",NOT(ISNUMBER(D267))),"",ROUND(D267*H267,2))</f>
        <v/>
      </c>
      <c r="J267" s="6">
        <f>IF(A267&amp;""="","",IF(OR(C267="تم",C267="خسارة"),"مغلقة",IF(NOT(ISNUMBER(E267)),"بلا موعد",IF(E267&lt;'الإعدادات'!$B$4,"متأخرة",IF(E267='الإعدادات'!$B$4,"اليوم","قادمة")))))</f>
        <v/>
      </c>
      <c r="K267" s="19">
        <f>IF(OR(J267="متأخرة",J267="اليوم"),'الإعدادات'!$B$4-E267,"")</f>
        <v/>
      </c>
      <c r="L267" s="19">
        <f>IF(OR(A267&amp;""="",NOT(ISNUMBER(F267))),"",'الإعدادات'!$B$4-F267)</f>
        <v/>
      </c>
      <c r="M267" s="19">
        <f>IF(OR(J267="متأخرة",J267="اليوم"),COUNTIFS($J$6:$J$505,"متأخرة",$E$6:$E$505,"&lt;"&amp;E267)+COUNTIFS($J$6:$J$505,"اليوم",$E$6:$E$505,"&lt;"&amp;E267)+COUNTIFS($E$6:E267,E267&amp;"",$J$6:J267,J267),"")</f>
        <v/>
      </c>
    </row>
    <row r="268">
      <c r="A268" s="5" t="n"/>
      <c r="B268" s="5" t="n"/>
      <c r="C268" s="5" t="n"/>
      <c r="D268" s="16" t="n"/>
      <c r="E268" s="13" t="n"/>
      <c r="F268" s="13" t="n"/>
      <c r="G268" s="5" t="n"/>
      <c r="H268" s="17">
        <f>IF(C268&amp;""="","",IFERROR(VLOOKUP(C268,'الإعدادات'!$A$8:$B$13,2,FALSE),""))</f>
        <v/>
      </c>
      <c r="I268" s="18">
        <f>IF(OR(H268="",NOT(ISNUMBER(D268))),"",ROUND(D268*H268,2))</f>
        <v/>
      </c>
      <c r="J268" s="6">
        <f>IF(A268&amp;""="","",IF(OR(C268="تم",C268="خسارة"),"مغلقة",IF(NOT(ISNUMBER(E268)),"بلا موعد",IF(E268&lt;'الإعدادات'!$B$4,"متأخرة",IF(E268='الإعدادات'!$B$4,"اليوم","قادمة")))))</f>
        <v/>
      </c>
      <c r="K268" s="19">
        <f>IF(OR(J268="متأخرة",J268="اليوم"),'الإعدادات'!$B$4-E268,"")</f>
        <v/>
      </c>
      <c r="L268" s="19">
        <f>IF(OR(A268&amp;""="",NOT(ISNUMBER(F268))),"",'الإعدادات'!$B$4-F268)</f>
        <v/>
      </c>
      <c r="M268" s="19">
        <f>IF(OR(J268="متأخرة",J268="اليوم"),COUNTIFS($J$6:$J$505,"متأخرة",$E$6:$E$505,"&lt;"&amp;E268)+COUNTIFS($J$6:$J$505,"اليوم",$E$6:$E$505,"&lt;"&amp;E268)+COUNTIFS($E$6:E268,E268&amp;"",$J$6:J268,J268),"")</f>
        <v/>
      </c>
    </row>
    <row r="269">
      <c r="A269" s="5" t="n"/>
      <c r="B269" s="5" t="n"/>
      <c r="C269" s="5" t="n"/>
      <c r="D269" s="16" t="n"/>
      <c r="E269" s="13" t="n"/>
      <c r="F269" s="13" t="n"/>
      <c r="G269" s="5" t="n"/>
      <c r="H269" s="17">
        <f>IF(C269&amp;""="","",IFERROR(VLOOKUP(C269,'الإعدادات'!$A$8:$B$13,2,FALSE),""))</f>
        <v/>
      </c>
      <c r="I269" s="18">
        <f>IF(OR(H269="",NOT(ISNUMBER(D269))),"",ROUND(D269*H269,2))</f>
        <v/>
      </c>
      <c r="J269" s="6">
        <f>IF(A269&amp;""="","",IF(OR(C269="تم",C269="خسارة"),"مغلقة",IF(NOT(ISNUMBER(E269)),"بلا موعد",IF(E269&lt;'الإعدادات'!$B$4,"متأخرة",IF(E269='الإعدادات'!$B$4,"اليوم","قادمة")))))</f>
        <v/>
      </c>
      <c r="K269" s="19">
        <f>IF(OR(J269="متأخرة",J269="اليوم"),'الإعدادات'!$B$4-E269,"")</f>
        <v/>
      </c>
      <c r="L269" s="19">
        <f>IF(OR(A269&amp;""="",NOT(ISNUMBER(F269))),"",'الإعدادات'!$B$4-F269)</f>
        <v/>
      </c>
      <c r="M269" s="19">
        <f>IF(OR(J269="متأخرة",J269="اليوم"),COUNTIFS($J$6:$J$505,"متأخرة",$E$6:$E$505,"&lt;"&amp;E269)+COUNTIFS($J$6:$J$505,"اليوم",$E$6:$E$505,"&lt;"&amp;E269)+COUNTIFS($E$6:E269,E269&amp;"",$J$6:J269,J269),"")</f>
        <v/>
      </c>
    </row>
    <row r="270">
      <c r="A270" s="5" t="n"/>
      <c r="B270" s="5" t="n"/>
      <c r="C270" s="5" t="n"/>
      <c r="D270" s="16" t="n"/>
      <c r="E270" s="13" t="n"/>
      <c r="F270" s="13" t="n"/>
      <c r="G270" s="5" t="n"/>
      <c r="H270" s="17">
        <f>IF(C270&amp;""="","",IFERROR(VLOOKUP(C270,'الإعدادات'!$A$8:$B$13,2,FALSE),""))</f>
        <v/>
      </c>
      <c r="I270" s="18">
        <f>IF(OR(H270="",NOT(ISNUMBER(D270))),"",ROUND(D270*H270,2))</f>
        <v/>
      </c>
      <c r="J270" s="6">
        <f>IF(A270&amp;""="","",IF(OR(C270="تم",C270="خسارة"),"مغلقة",IF(NOT(ISNUMBER(E270)),"بلا موعد",IF(E270&lt;'الإعدادات'!$B$4,"متأخرة",IF(E270='الإعدادات'!$B$4,"اليوم","قادمة")))))</f>
        <v/>
      </c>
      <c r="K270" s="19">
        <f>IF(OR(J270="متأخرة",J270="اليوم"),'الإعدادات'!$B$4-E270,"")</f>
        <v/>
      </c>
      <c r="L270" s="19">
        <f>IF(OR(A270&amp;""="",NOT(ISNUMBER(F270))),"",'الإعدادات'!$B$4-F270)</f>
        <v/>
      </c>
      <c r="M270" s="19">
        <f>IF(OR(J270="متأخرة",J270="اليوم"),COUNTIFS($J$6:$J$505,"متأخرة",$E$6:$E$505,"&lt;"&amp;E270)+COUNTIFS($J$6:$J$505,"اليوم",$E$6:$E$505,"&lt;"&amp;E270)+COUNTIFS($E$6:E270,E270&amp;"",$J$6:J270,J270),"")</f>
        <v/>
      </c>
    </row>
    <row r="271">
      <c r="A271" s="5" t="n"/>
      <c r="B271" s="5" t="n"/>
      <c r="C271" s="5" t="n"/>
      <c r="D271" s="16" t="n"/>
      <c r="E271" s="13" t="n"/>
      <c r="F271" s="13" t="n"/>
      <c r="G271" s="5" t="n"/>
      <c r="H271" s="17">
        <f>IF(C271&amp;""="","",IFERROR(VLOOKUP(C271,'الإعدادات'!$A$8:$B$13,2,FALSE),""))</f>
        <v/>
      </c>
      <c r="I271" s="18">
        <f>IF(OR(H271="",NOT(ISNUMBER(D271))),"",ROUND(D271*H271,2))</f>
        <v/>
      </c>
      <c r="J271" s="6">
        <f>IF(A271&amp;""="","",IF(OR(C271="تم",C271="خسارة"),"مغلقة",IF(NOT(ISNUMBER(E271)),"بلا موعد",IF(E271&lt;'الإعدادات'!$B$4,"متأخرة",IF(E271='الإعدادات'!$B$4,"اليوم","قادمة")))))</f>
        <v/>
      </c>
      <c r="K271" s="19">
        <f>IF(OR(J271="متأخرة",J271="اليوم"),'الإعدادات'!$B$4-E271,"")</f>
        <v/>
      </c>
      <c r="L271" s="19">
        <f>IF(OR(A271&amp;""="",NOT(ISNUMBER(F271))),"",'الإعدادات'!$B$4-F271)</f>
        <v/>
      </c>
      <c r="M271" s="19">
        <f>IF(OR(J271="متأخرة",J271="اليوم"),COUNTIFS($J$6:$J$505,"متأخرة",$E$6:$E$505,"&lt;"&amp;E271)+COUNTIFS($J$6:$J$505,"اليوم",$E$6:$E$505,"&lt;"&amp;E271)+COUNTIFS($E$6:E271,E271&amp;"",$J$6:J271,J271),"")</f>
        <v/>
      </c>
    </row>
    <row r="272">
      <c r="A272" s="5" t="n"/>
      <c r="B272" s="5" t="n"/>
      <c r="C272" s="5" t="n"/>
      <c r="D272" s="16" t="n"/>
      <c r="E272" s="13" t="n"/>
      <c r="F272" s="13" t="n"/>
      <c r="G272" s="5" t="n"/>
      <c r="H272" s="17">
        <f>IF(C272&amp;""="","",IFERROR(VLOOKUP(C272,'الإعدادات'!$A$8:$B$13,2,FALSE),""))</f>
        <v/>
      </c>
      <c r="I272" s="18">
        <f>IF(OR(H272="",NOT(ISNUMBER(D272))),"",ROUND(D272*H272,2))</f>
        <v/>
      </c>
      <c r="J272" s="6">
        <f>IF(A272&amp;""="","",IF(OR(C272="تم",C272="خسارة"),"مغلقة",IF(NOT(ISNUMBER(E272)),"بلا موعد",IF(E272&lt;'الإعدادات'!$B$4,"متأخرة",IF(E272='الإعدادات'!$B$4,"اليوم","قادمة")))))</f>
        <v/>
      </c>
      <c r="K272" s="19">
        <f>IF(OR(J272="متأخرة",J272="اليوم"),'الإعدادات'!$B$4-E272,"")</f>
        <v/>
      </c>
      <c r="L272" s="19">
        <f>IF(OR(A272&amp;""="",NOT(ISNUMBER(F272))),"",'الإعدادات'!$B$4-F272)</f>
        <v/>
      </c>
      <c r="M272" s="19">
        <f>IF(OR(J272="متأخرة",J272="اليوم"),COUNTIFS($J$6:$J$505,"متأخرة",$E$6:$E$505,"&lt;"&amp;E272)+COUNTIFS($J$6:$J$505,"اليوم",$E$6:$E$505,"&lt;"&amp;E272)+COUNTIFS($E$6:E272,E272&amp;"",$J$6:J272,J272),"")</f>
        <v/>
      </c>
    </row>
    <row r="273">
      <c r="A273" s="5" t="n"/>
      <c r="B273" s="5" t="n"/>
      <c r="C273" s="5" t="n"/>
      <c r="D273" s="16" t="n"/>
      <c r="E273" s="13" t="n"/>
      <c r="F273" s="13" t="n"/>
      <c r="G273" s="5" t="n"/>
      <c r="H273" s="17">
        <f>IF(C273&amp;""="","",IFERROR(VLOOKUP(C273,'الإعدادات'!$A$8:$B$13,2,FALSE),""))</f>
        <v/>
      </c>
      <c r="I273" s="18">
        <f>IF(OR(H273="",NOT(ISNUMBER(D273))),"",ROUND(D273*H273,2))</f>
        <v/>
      </c>
      <c r="J273" s="6">
        <f>IF(A273&amp;""="","",IF(OR(C273="تم",C273="خسارة"),"مغلقة",IF(NOT(ISNUMBER(E273)),"بلا موعد",IF(E273&lt;'الإعدادات'!$B$4,"متأخرة",IF(E273='الإعدادات'!$B$4,"اليوم","قادمة")))))</f>
        <v/>
      </c>
      <c r="K273" s="19">
        <f>IF(OR(J273="متأخرة",J273="اليوم"),'الإعدادات'!$B$4-E273,"")</f>
        <v/>
      </c>
      <c r="L273" s="19">
        <f>IF(OR(A273&amp;""="",NOT(ISNUMBER(F273))),"",'الإعدادات'!$B$4-F273)</f>
        <v/>
      </c>
      <c r="M273" s="19">
        <f>IF(OR(J273="متأخرة",J273="اليوم"),COUNTIFS($J$6:$J$505,"متأخرة",$E$6:$E$505,"&lt;"&amp;E273)+COUNTIFS($J$6:$J$505,"اليوم",$E$6:$E$505,"&lt;"&amp;E273)+COUNTIFS($E$6:E273,E273&amp;"",$J$6:J273,J273),"")</f>
        <v/>
      </c>
    </row>
    <row r="274">
      <c r="A274" s="5" t="n"/>
      <c r="B274" s="5" t="n"/>
      <c r="C274" s="5" t="n"/>
      <c r="D274" s="16" t="n"/>
      <c r="E274" s="13" t="n"/>
      <c r="F274" s="13" t="n"/>
      <c r="G274" s="5" t="n"/>
      <c r="H274" s="17">
        <f>IF(C274&amp;""="","",IFERROR(VLOOKUP(C274,'الإعدادات'!$A$8:$B$13,2,FALSE),""))</f>
        <v/>
      </c>
      <c r="I274" s="18">
        <f>IF(OR(H274="",NOT(ISNUMBER(D274))),"",ROUND(D274*H274,2))</f>
        <v/>
      </c>
      <c r="J274" s="6">
        <f>IF(A274&amp;""="","",IF(OR(C274="تم",C274="خسارة"),"مغلقة",IF(NOT(ISNUMBER(E274)),"بلا موعد",IF(E274&lt;'الإعدادات'!$B$4,"متأخرة",IF(E274='الإعدادات'!$B$4,"اليوم","قادمة")))))</f>
        <v/>
      </c>
      <c r="K274" s="19">
        <f>IF(OR(J274="متأخرة",J274="اليوم"),'الإعدادات'!$B$4-E274,"")</f>
        <v/>
      </c>
      <c r="L274" s="19">
        <f>IF(OR(A274&amp;""="",NOT(ISNUMBER(F274))),"",'الإعدادات'!$B$4-F274)</f>
        <v/>
      </c>
      <c r="M274" s="19">
        <f>IF(OR(J274="متأخرة",J274="اليوم"),COUNTIFS($J$6:$J$505,"متأخرة",$E$6:$E$505,"&lt;"&amp;E274)+COUNTIFS($J$6:$J$505,"اليوم",$E$6:$E$505,"&lt;"&amp;E274)+COUNTIFS($E$6:E274,E274&amp;"",$J$6:J274,J274),"")</f>
        <v/>
      </c>
    </row>
    <row r="275">
      <c r="A275" s="5" t="n"/>
      <c r="B275" s="5" t="n"/>
      <c r="C275" s="5" t="n"/>
      <c r="D275" s="16" t="n"/>
      <c r="E275" s="13" t="n"/>
      <c r="F275" s="13" t="n"/>
      <c r="G275" s="5" t="n"/>
      <c r="H275" s="17">
        <f>IF(C275&amp;""="","",IFERROR(VLOOKUP(C275,'الإعدادات'!$A$8:$B$13,2,FALSE),""))</f>
        <v/>
      </c>
      <c r="I275" s="18">
        <f>IF(OR(H275="",NOT(ISNUMBER(D275))),"",ROUND(D275*H275,2))</f>
        <v/>
      </c>
      <c r="J275" s="6">
        <f>IF(A275&amp;""="","",IF(OR(C275="تم",C275="خسارة"),"مغلقة",IF(NOT(ISNUMBER(E275)),"بلا موعد",IF(E275&lt;'الإعدادات'!$B$4,"متأخرة",IF(E275='الإعدادات'!$B$4,"اليوم","قادمة")))))</f>
        <v/>
      </c>
      <c r="K275" s="19">
        <f>IF(OR(J275="متأخرة",J275="اليوم"),'الإعدادات'!$B$4-E275,"")</f>
        <v/>
      </c>
      <c r="L275" s="19">
        <f>IF(OR(A275&amp;""="",NOT(ISNUMBER(F275))),"",'الإعدادات'!$B$4-F275)</f>
        <v/>
      </c>
      <c r="M275" s="19">
        <f>IF(OR(J275="متأخرة",J275="اليوم"),COUNTIFS($J$6:$J$505,"متأخرة",$E$6:$E$505,"&lt;"&amp;E275)+COUNTIFS($J$6:$J$505,"اليوم",$E$6:$E$505,"&lt;"&amp;E275)+COUNTIFS($E$6:E275,E275&amp;"",$J$6:J275,J275),"")</f>
        <v/>
      </c>
    </row>
    <row r="276">
      <c r="A276" s="5" t="n"/>
      <c r="B276" s="5" t="n"/>
      <c r="C276" s="5" t="n"/>
      <c r="D276" s="16" t="n"/>
      <c r="E276" s="13" t="n"/>
      <c r="F276" s="13" t="n"/>
      <c r="G276" s="5" t="n"/>
      <c r="H276" s="17">
        <f>IF(C276&amp;""="","",IFERROR(VLOOKUP(C276,'الإعدادات'!$A$8:$B$13,2,FALSE),""))</f>
        <v/>
      </c>
      <c r="I276" s="18">
        <f>IF(OR(H276="",NOT(ISNUMBER(D276))),"",ROUND(D276*H276,2))</f>
        <v/>
      </c>
      <c r="J276" s="6">
        <f>IF(A276&amp;""="","",IF(OR(C276="تم",C276="خسارة"),"مغلقة",IF(NOT(ISNUMBER(E276)),"بلا موعد",IF(E276&lt;'الإعدادات'!$B$4,"متأخرة",IF(E276='الإعدادات'!$B$4,"اليوم","قادمة")))))</f>
        <v/>
      </c>
      <c r="K276" s="19">
        <f>IF(OR(J276="متأخرة",J276="اليوم"),'الإعدادات'!$B$4-E276,"")</f>
        <v/>
      </c>
      <c r="L276" s="19">
        <f>IF(OR(A276&amp;""="",NOT(ISNUMBER(F276))),"",'الإعدادات'!$B$4-F276)</f>
        <v/>
      </c>
      <c r="M276" s="19">
        <f>IF(OR(J276="متأخرة",J276="اليوم"),COUNTIFS($J$6:$J$505,"متأخرة",$E$6:$E$505,"&lt;"&amp;E276)+COUNTIFS($J$6:$J$505,"اليوم",$E$6:$E$505,"&lt;"&amp;E276)+COUNTIFS($E$6:E276,E276&amp;"",$J$6:J276,J276),"")</f>
        <v/>
      </c>
    </row>
    <row r="277">
      <c r="A277" s="5" t="n"/>
      <c r="B277" s="5" t="n"/>
      <c r="C277" s="5" t="n"/>
      <c r="D277" s="16" t="n"/>
      <c r="E277" s="13" t="n"/>
      <c r="F277" s="13" t="n"/>
      <c r="G277" s="5" t="n"/>
      <c r="H277" s="17">
        <f>IF(C277&amp;""="","",IFERROR(VLOOKUP(C277,'الإعدادات'!$A$8:$B$13,2,FALSE),""))</f>
        <v/>
      </c>
      <c r="I277" s="18">
        <f>IF(OR(H277="",NOT(ISNUMBER(D277))),"",ROUND(D277*H277,2))</f>
        <v/>
      </c>
      <c r="J277" s="6">
        <f>IF(A277&amp;""="","",IF(OR(C277="تم",C277="خسارة"),"مغلقة",IF(NOT(ISNUMBER(E277)),"بلا موعد",IF(E277&lt;'الإعدادات'!$B$4,"متأخرة",IF(E277='الإعدادات'!$B$4,"اليوم","قادمة")))))</f>
        <v/>
      </c>
      <c r="K277" s="19">
        <f>IF(OR(J277="متأخرة",J277="اليوم"),'الإعدادات'!$B$4-E277,"")</f>
        <v/>
      </c>
      <c r="L277" s="19">
        <f>IF(OR(A277&amp;""="",NOT(ISNUMBER(F277))),"",'الإعدادات'!$B$4-F277)</f>
        <v/>
      </c>
      <c r="M277" s="19">
        <f>IF(OR(J277="متأخرة",J277="اليوم"),COUNTIFS($J$6:$J$505,"متأخرة",$E$6:$E$505,"&lt;"&amp;E277)+COUNTIFS($J$6:$J$505,"اليوم",$E$6:$E$505,"&lt;"&amp;E277)+COUNTIFS($E$6:E277,E277&amp;"",$J$6:J277,J277),"")</f>
        <v/>
      </c>
    </row>
    <row r="278">
      <c r="A278" s="5" t="n"/>
      <c r="B278" s="5" t="n"/>
      <c r="C278" s="5" t="n"/>
      <c r="D278" s="16" t="n"/>
      <c r="E278" s="13" t="n"/>
      <c r="F278" s="13" t="n"/>
      <c r="G278" s="5" t="n"/>
      <c r="H278" s="17">
        <f>IF(C278&amp;""="","",IFERROR(VLOOKUP(C278,'الإعدادات'!$A$8:$B$13,2,FALSE),""))</f>
        <v/>
      </c>
      <c r="I278" s="18">
        <f>IF(OR(H278="",NOT(ISNUMBER(D278))),"",ROUND(D278*H278,2))</f>
        <v/>
      </c>
      <c r="J278" s="6">
        <f>IF(A278&amp;""="","",IF(OR(C278="تم",C278="خسارة"),"مغلقة",IF(NOT(ISNUMBER(E278)),"بلا موعد",IF(E278&lt;'الإعدادات'!$B$4,"متأخرة",IF(E278='الإعدادات'!$B$4,"اليوم","قادمة")))))</f>
        <v/>
      </c>
      <c r="K278" s="19">
        <f>IF(OR(J278="متأخرة",J278="اليوم"),'الإعدادات'!$B$4-E278,"")</f>
        <v/>
      </c>
      <c r="L278" s="19">
        <f>IF(OR(A278&amp;""="",NOT(ISNUMBER(F278))),"",'الإعدادات'!$B$4-F278)</f>
        <v/>
      </c>
      <c r="M278" s="19">
        <f>IF(OR(J278="متأخرة",J278="اليوم"),COUNTIFS($J$6:$J$505,"متأخرة",$E$6:$E$505,"&lt;"&amp;E278)+COUNTIFS($J$6:$J$505,"اليوم",$E$6:$E$505,"&lt;"&amp;E278)+COUNTIFS($E$6:E278,E278&amp;"",$J$6:J278,J278),"")</f>
        <v/>
      </c>
    </row>
    <row r="279">
      <c r="A279" s="5" t="n"/>
      <c r="B279" s="5" t="n"/>
      <c r="C279" s="5" t="n"/>
      <c r="D279" s="16" t="n"/>
      <c r="E279" s="13" t="n"/>
      <c r="F279" s="13" t="n"/>
      <c r="G279" s="5" t="n"/>
      <c r="H279" s="17">
        <f>IF(C279&amp;""="","",IFERROR(VLOOKUP(C279,'الإعدادات'!$A$8:$B$13,2,FALSE),""))</f>
        <v/>
      </c>
      <c r="I279" s="18">
        <f>IF(OR(H279="",NOT(ISNUMBER(D279))),"",ROUND(D279*H279,2))</f>
        <v/>
      </c>
      <c r="J279" s="6">
        <f>IF(A279&amp;""="","",IF(OR(C279="تم",C279="خسارة"),"مغلقة",IF(NOT(ISNUMBER(E279)),"بلا موعد",IF(E279&lt;'الإعدادات'!$B$4,"متأخرة",IF(E279='الإعدادات'!$B$4,"اليوم","قادمة")))))</f>
        <v/>
      </c>
      <c r="K279" s="19">
        <f>IF(OR(J279="متأخرة",J279="اليوم"),'الإعدادات'!$B$4-E279,"")</f>
        <v/>
      </c>
      <c r="L279" s="19">
        <f>IF(OR(A279&amp;""="",NOT(ISNUMBER(F279))),"",'الإعدادات'!$B$4-F279)</f>
        <v/>
      </c>
      <c r="M279" s="19">
        <f>IF(OR(J279="متأخرة",J279="اليوم"),COUNTIFS($J$6:$J$505,"متأخرة",$E$6:$E$505,"&lt;"&amp;E279)+COUNTIFS($J$6:$J$505,"اليوم",$E$6:$E$505,"&lt;"&amp;E279)+COUNTIFS($E$6:E279,E279&amp;"",$J$6:J279,J279),"")</f>
        <v/>
      </c>
    </row>
    <row r="280">
      <c r="A280" s="5" t="n"/>
      <c r="B280" s="5" t="n"/>
      <c r="C280" s="5" t="n"/>
      <c r="D280" s="16" t="n"/>
      <c r="E280" s="13" t="n"/>
      <c r="F280" s="13" t="n"/>
      <c r="G280" s="5" t="n"/>
      <c r="H280" s="17">
        <f>IF(C280&amp;""="","",IFERROR(VLOOKUP(C280,'الإعدادات'!$A$8:$B$13,2,FALSE),""))</f>
        <v/>
      </c>
      <c r="I280" s="18">
        <f>IF(OR(H280="",NOT(ISNUMBER(D280))),"",ROUND(D280*H280,2))</f>
        <v/>
      </c>
      <c r="J280" s="6">
        <f>IF(A280&amp;""="","",IF(OR(C280="تم",C280="خسارة"),"مغلقة",IF(NOT(ISNUMBER(E280)),"بلا موعد",IF(E280&lt;'الإعدادات'!$B$4,"متأخرة",IF(E280='الإعدادات'!$B$4,"اليوم","قادمة")))))</f>
        <v/>
      </c>
      <c r="K280" s="19">
        <f>IF(OR(J280="متأخرة",J280="اليوم"),'الإعدادات'!$B$4-E280,"")</f>
        <v/>
      </c>
      <c r="L280" s="19">
        <f>IF(OR(A280&amp;""="",NOT(ISNUMBER(F280))),"",'الإعدادات'!$B$4-F280)</f>
        <v/>
      </c>
      <c r="M280" s="19">
        <f>IF(OR(J280="متأخرة",J280="اليوم"),COUNTIFS($J$6:$J$505,"متأخرة",$E$6:$E$505,"&lt;"&amp;E280)+COUNTIFS($J$6:$J$505,"اليوم",$E$6:$E$505,"&lt;"&amp;E280)+COUNTIFS($E$6:E280,E280&amp;"",$J$6:J280,J280),"")</f>
        <v/>
      </c>
    </row>
    <row r="281">
      <c r="A281" s="5" t="n"/>
      <c r="B281" s="5" t="n"/>
      <c r="C281" s="5" t="n"/>
      <c r="D281" s="16" t="n"/>
      <c r="E281" s="13" t="n"/>
      <c r="F281" s="13" t="n"/>
      <c r="G281" s="5" t="n"/>
      <c r="H281" s="17">
        <f>IF(C281&amp;""="","",IFERROR(VLOOKUP(C281,'الإعدادات'!$A$8:$B$13,2,FALSE),""))</f>
        <v/>
      </c>
      <c r="I281" s="18">
        <f>IF(OR(H281="",NOT(ISNUMBER(D281))),"",ROUND(D281*H281,2))</f>
        <v/>
      </c>
      <c r="J281" s="6">
        <f>IF(A281&amp;""="","",IF(OR(C281="تم",C281="خسارة"),"مغلقة",IF(NOT(ISNUMBER(E281)),"بلا موعد",IF(E281&lt;'الإعدادات'!$B$4,"متأخرة",IF(E281='الإعدادات'!$B$4,"اليوم","قادمة")))))</f>
        <v/>
      </c>
      <c r="K281" s="19">
        <f>IF(OR(J281="متأخرة",J281="اليوم"),'الإعدادات'!$B$4-E281,"")</f>
        <v/>
      </c>
      <c r="L281" s="19">
        <f>IF(OR(A281&amp;""="",NOT(ISNUMBER(F281))),"",'الإعدادات'!$B$4-F281)</f>
        <v/>
      </c>
      <c r="M281" s="19">
        <f>IF(OR(J281="متأخرة",J281="اليوم"),COUNTIFS($J$6:$J$505,"متأخرة",$E$6:$E$505,"&lt;"&amp;E281)+COUNTIFS($J$6:$J$505,"اليوم",$E$6:$E$505,"&lt;"&amp;E281)+COUNTIFS($E$6:E281,E281&amp;"",$J$6:J281,J281),"")</f>
        <v/>
      </c>
    </row>
    <row r="282">
      <c r="A282" s="5" t="n"/>
      <c r="B282" s="5" t="n"/>
      <c r="C282" s="5" t="n"/>
      <c r="D282" s="16" t="n"/>
      <c r="E282" s="13" t="n"/>
      <c r="F282" s="13" t="n"/>
      <c r="G282" s="5" t="n"/>
      <c r="H282" s="17">
        <f>IF(C282&amp;""="","",IFERROR(VLOOKUP(C282,'الإعدادات'!$A$8:$B$13,2,FALSE),""))</f>
        <v/>
      </c>
      <c r="I282" s="18">
        <f>IF(OR(H282="",NOT(ISNUMBER(D282))),"",ROUND(D282*H282,2))</f>
        <v/>
      </c>
      <c r="J282" s="6">
        <f>IF(A282&amp;""="","",IF(OR(C282="تم",C282="خسارة"),"مغلقة",IF(NOT(ISNUMBER(E282)),"بلا موعد",IF(E282&lt;'الإعدادات'!$B$4,"متأخرة",IF(E282='الإعدادات'!$B$4,"اليوم","قادمة")))))</f>
        <v/>
      </c>
      <c r="K282" s="19">
        <f>IF(OR(J282="متأخرة",J282="اليوم"),'الإعدادات'!$B$4-E282,"")</f>
        <v/>
      </c>
      <c r="L282" s="19">
        <f>IF(OR(A282&amp;""="",NOT(ISNUMBER(F282))),"",'الإعدادات'!$B$4-F282)</f>
        <v/>
      </c>
      <c r="M282" s="19">
        <f>IF(OR(J282="متأخرة",J282="اليوم"),COUNTIFS($J$6:$J$505,"متأخرة",$E$6:$E$505,"&lt;"&amp;E282)+COUNTIFS($J$6:$J$505,"اليوم",$E$6:$E$505,"&lt;"&amp;E282)+COUNTIFS($E$6:E282,E282&amp;"",$J$6:J282,J282),"")</f>
        <v/>
      </c>
    </row>
    <row r="283">
      <c r="A283" s="5" t="n"/>
      <c r="B283" s="5" t="n"/>
      <c r="C283" s="5" t="n"/>
      <c r="D283" s="16" t="n"/>
      <c r="E283" s="13" t="n"/>
      <c r="F283" s="13" t="n"/>
      <c r="G283" s="5" t="n"/>
      <c r="H283" s="17">
        <f>IF(C283&amp;""="","",IFERROR(VLOOKUP(C283,'الإعدادات'!$A$8:$B$13,2,FALSE),""))</f>
        <v/>
      </c>
      <c r="I283" s="18">
        <f>IF(OR(H283="",NOT(ISNUMBER(D283))),"",ROUND(D283*H283,2))</f>
        <v/>
      </c>
      <c r="J283" s="6">
        <f>IF(A283&amp;""="","",IF(OR(C283="تم",C283="خسارة"),"مغلقة",IF(NOT(ISNUMBER(E283)),"بلا موعد",IF(E283&lt;'الإعدادات'!$B$4,"متأخرة",IF(E283='الإعدادات'!$B$4,"اليوم","قادمة")))))</f>
        <v/>
      </c>
      <c r="K283" s="19">
        <f>IF(OR(J283="متأخرة",J283="اليوم"),'الإعدادات'!$B$4-E283,"")</f>
        <v/>
      </c>
      <c r="L283" s="19">
        <f>IF(OR(A283&amp;""="",NOT(ISNUMBER(F283))),"",'الإعدادات'!$B$4-F283)</f>
        <v/>
      </c>
      <c r="M283" s="19">
        <f>IF(OR(J283="متأخرة",J283="اليوم"),COUNTIFS($J$6:$J$505,"متأخرة",$E$6:$E$505,"&lt;"&amp;E283)+COUNTIFS($J$6:$J$505,"اليوم",$E$6:$E$505,"&lt;"&amp;E283)+COUNTIFS($E$6:E283,E283&amp;"",$J$6:J283,J283),"")</f>
        <v/>
      </c>
    </row>
    <row r="284">
      <c r="A284" s="5" t="n"/>
      <c r="B284" s="5" t="n"/>
      <c r="C284" s="5" t="n"/>
      <c r="D284" s="16" t="n"/>
      <c r="E284" s="13" t="n"/>
      <c r="F284" s="13" t="n"/>
      <c r="G284" s="5" t="n"/>
      <c r="H284" s="17">
        <f>IF(C284&amp;""="","",IFERROR(VLOOKUP(C284,'الإعدادات'!$A$8:$B$13,2,FALSE),""))</f>
        <v/>
      </c>
      <c r="I284" s="18">
        <f>IF(OR(H284="",NOT(ISNUMBER(D284))),"",ROUND(D284*H284,2))</f>
        <v/>
      </c>
      <c r="J284" s="6">
        <f>IF(A284&amp;""="","",IF(OR(C284="تم",C284="خسارة"),"مغلقة",IF(NOT(ISNUMBER(E284)),"بلا موعد",IF(E284&lt;'الإعدادات'!$B$4,"متأخرة",IF(E284='الإعدادات'!$B$4,"اليوم","قادمة")))))</f>
        <v/>
      </c>
      <c r="K284" s="19">
        <f>IF(OR(J284="متأخرة",J284="اليوم"),'الإعدادات'!$B$4-E284,"")</f>
        <v/>
      </c>
      <c r="L284" s="19">
        <f>IF(OR(A284&amp;""="",NOT(ISNUMBER(F284))),"",'الإعدادات'!$B$4-F284)</f>
        <v/>
      </c>
      <c r="M284" s="19">
        <f>IF(OR(J284="متأخرة",J284="اليوم"),COUNTIFS($J$6:$J$505,"متأخرة",$E$6:$E$505,"&lt;"&amp;E284)+COUNTIFS($J$6:$J$505,"اليوم",$E$6:$E$505,"&lt;"&amp;E284)+COUNTIFS($E$6:E284,E284&amp;"",$J$6:J284,J284),"")</f>
        <v/>
      </c>
    </row>
    <row r="285">
      <c r="A285" s="5" t="n"/>
      <c r="B285" s="5" t="n"/>
      <c r="C285" s="5" t="n"/>
      <c r="D285" s="16" t="n"/>
      <c r="E285" s="13" t="n"/>
      <c r="F285" s="13" t="n"/>
      <c r="G285" s="5" t="n"/>
      <c r="H285" s="17">
        <f>IF(C285&amp;""="","",IFERROR(VLOOKUP(C285,'الإعدادات'!$A$8:$B$13,2,FALSE),""))</f>
        <v/>
      </c>
      <c r="I285" s="18">
        <f>IF(OR(H285="",NOT(ISNUMBER(D285))),"",ROUND(D285*H285,2))</f>
        <v/>
      </c>
      <c r="J285" s="6">
        <f>IF(A285&amp;""="","",IF(OR(C285="تم",C285="خسارة"),"مغلقة",IF(NOT(ISNUMBER(E285)),"بلا موعد",IF(E285&lt;'الإعدادات'!$B$4,"متأخرة",IF(E285='الإعدادات'!$B$4,"اليوم","قادمة")))))</f>
        <v/>
      </c>
      <c r="K285" s="19">
        <f>IF(OR(J285="متأخرة",J285="اليوم"),'الإعدادات'!$B$4-E285,"")</f>
        <v/>
      </c>
      <c r="L285" s="19">
        <f>IF(OR(A285&amp;""="",NOT(ISNUMBER(F285))),"",'الإعدادات'!$B$4-F285)</f>
        <v/>
      </c>
      <c r="M285" s="19">
        <f>IF(OR(J285="متأخرة",J285="اليوم"),COUNTIFS($J$6:$J$505,"متأخرة",$E$6:$E$505,"&lt;"&amp;E285)+COUNTIFS($J$6:$J$505,"اليوم",$E$6:$E$505,"&lt;"&amp;E285)+COUNTIFS($E$6:E285,E285&amp;"",$J$6:J285,J285),"")</f>
        <v/>
      </c>
    </row>
    <row r="286">
      <c r="A286" s="5" t="n"/>
      <c r="B286" s="5" t="n"/>
      <c r="C286" s="5" t="n"/>
      <c r="D286" s="16" t="n"/>
      <c r="E286" s="13" t="n"/>
      <c r="F286" s="13" t="n"/>
      <c r="G286" s="5" t="n"/>
      <c r="H286" s="17">
        <f>IF(C286&amp;""="","",IFERROR(VLOOKUP(C286,'الإعدادات'!$A$8:$B$13,2,FALSE),""))</f>
        <v/>
      </c>
      <c r="I286" s="18">
        <f>IF(OR(H286="",NOT(ISNUMBER(D286))),"",ROUND(D286*H286,2))</f>
        <v/>
      </c>
      <c r="J286" s="6">
        <f>IF(A286&amp;""="","",IF(OR(C286="تم",C286="خسارة"),"مغلقة",IF(NOT(ISNUMBER(E286)),"بلا موعد",IF(E286&lt;'الإعدادات'!$B$4,"متأخرة",IF(E286='الإعدادات'!$B$4,"اليوم","قادمة")))))</f>
        <v/>
      </c>
      <c r="K286" s="19">
        <f>IF(OR(J286="متأخرة",J286="اليوم"),'الإعدادات'!$B$4-E286,"")</f>
        <v/>
      </c>
      <c r="L286" s="19">
        <f>IF(OR(A286&amp;""="",NOT(ISNUMBER(F286))),"",'الإعدادات'!$B$4-F286)</f>
        <v/>
      </c>
      <c r="M286" s="19">
        <f>IF(OR(J286="متأخرة",J286="اليوم"),COUNTIFS($J$6:$J$505,"متأخرة",$E$6:$E$505,"&lt;"&amp;E286)+COUNTIFS($J$6:$J$505,"اليوم",$E$6:$E$505,"&lt;"&amp;E286)+COUNTIFS($E$6:E286,E286&amp;"",$J$6:J286,J286),"")</f>
        <v/>
      </c>
    </row>
    <row r="287">
      <c r="A287" s="5" t="n"/>
      <c r="B287" s="5" t="n"/>
      <c r="C287" s="5" t="n"/>
      <c r="D287" s="16" t="n"/>
      <c r="E287" s="13" t="n"/>
      <c r="F287" s="13" t="n"/>
      <c r="G287" s="5" t="n"/>
      <c r="H287" s="17">
        <f>IF(C287&amp;""="","",IFERROR(VLOOKUP(C287,'الإعدادات'!$A$8:$B$13,2,FALSE),""))</f>
        <v/>
      </c>
      <c r="I287" s="18">
        <f>IF(OR(H287="",NOT(ISNUMBER(D287))),"",ROUND(D287*H287,2))</f>
        <v/>
      </c>
      <c r="J287" s="6">
        <f>IF(A287&amp;""="","",IF(OR(C287="تم",C287="خسارة"),"مغلقة",IF(NOT(ISNUMBER(E287)),"بلا موعد",IF(E287&lt;'الإعدادات'!$B$4,"متأخرة",IF(E287='الإعدادات'!$B$4,"اليوم","قادمة")))))</f>
        <v/>
      </c>
      <c r="K287" s="19">
        <f>IF(OR(J287="متأخرة",J287="اليوم"),'الإعدادات'!$B$4-E287,"")</f>
        <v/>
      </c>
      <c r="L287" s="19">
        <f>IF(OR(A287&amp;""="",NOT(ISNUMBER(F287))),"",'الإعدادات'!$B$4-F287)</f>
        <v/>
      </c>
      <c r="M287" s="19">
        <f>IF(OR(J287="متأخرة",J287="اليوم"),COUNTIFS($J$6:$J$505,"متأخرة",$E$6:$E$505,"&lt;"&amp;E287)+COUNTIFS($J$6:$J$505,"اليوم",$E$6:$E$505,"&lt;"&amp;E287)+COUNTIFS($E$6:E287,E287&amp;"",$J$6:J287,J287),"")</f>
        <v/>
      </c>
    </row>
    <row r="288">
      <c r="A288" s="5" t="n"/>
      <c r="B288" s="5" t="n"/>
      <c r="C288" s="5" t="n"/>
      <c r="D288" s="16" t="n"/>
      <c r="E288" s="13" t="n"/>
      <c r="F288" s="13" t="n"/>
      <c r="G288" s="5" t="n"/>
      <c r="H288" s="17">
        <f>IF(C288&amp;""="","",IFERROR(VLOOKUP(C288,'الإعدادات'!$A$8:$B$13,2,FALSE),""))</f>
        <v/>
      </c>
      <c r="I288" s="18">
        <f>IF(OR(H288="",NOT(ISNUMBER(D288))),"",ROUND(D288*H288,2))</f>
        <v/>
      </c>
      <c r="J288" s="6">
        <f>IF(A288&amp;""="","",IF(OR(C288="تم",C288="خسارة"),"مغلقة",IF(NOT(ISNUMBER(E288)),"بلا موعد",IF(E288&lt;'الإعدادات'!$B$4,"متأخرة",IF(E288='الإعدادات'!$B$4,"اليوم","قادمة")))))</f>
        <v/>
      </c>
      <c r="K288" s="19">
        <f>IF(OR(J288="متأخرة",J288="اليوم"),'الإعدادات'!$B$4-E288,"")</f>
        <v/>
      </c>
      <c r="L288" s="19">
        <f>IF(OR(A288&amp;""="",NOT(ISNUMBER(F288))),"",'الإعدادات'!$B$4-F288)</f>
        <v/>
      </c>
      <c r="M288" s="19">
        <f>IF(OR(J288="متأخرة",J288="اليوم"),COUNTIFS($J$6:$J$505,"متأخرة",$E$6:$E$505,"&lt;"&amp;E288)+COUNTIFS($J$6:$J$505,"اليوم",$E$6:$E$505,"&lt;"&amp;E288)+COUNTIFS($E$6:E288,E288&amp;"",$J$6:J288,J288),"")</f>
        <v/>
      </c>
    </row>
    <row r="289">
      <c r="A289" s="5" t="n"/>
      <c r="B289" s="5" t="n"/>
      <c r="C289" s="5" t="n"/>
      <c r="D289" s="16" t="n"/>
      <c r="E289" s="13" t="n"/>
      <c r="F289" s="13" t="n"/>
      <c r="G289" s="5" t="n"/>
      <c r="H289" s="17">
        <f>IF(C289&amp;""="","",IFERROR(VLOOKUP(C289,'الإعدادات'!$A$8:$B$13,2,FALSE),""))</f>
        <v/>
      </c>
      <c r="I289" s="18">
        <f>IF(OR(H289="",NOT(ISNUMBER(D289))),"",ROUND(D289*H289,2))</f>
        <v/>
      </c>
      <c r="J289" s="6">
        <f>IF(A289&amp;""="","",IF(OR(C289="تم",C289="خسارة"),"مغلقة",IF(NOT(ISNUMBER(E289)),"بلا موعد",IF(E289&lt;'الإعدادات'!$B$4,"متأخرة",IF(E289='الإعدادات'!$B$4,"اليوم","قادمة")))))</f>
        <v/>
      </c>
      <c r="K289" s="19">
        <f>IF(OR(J289="متأخرة",J289="اليوم"),'الإعدادات'!$B$4-E289,"")</f>
        <v/>
      </c>
      <c r="L289" s="19">
        <f>IF(OR(A289&amp;""="",NOT(ISNUMBER(F289))),"",'الإعدادات'!$B$4-F289)</f>
        <v/>
      </c>
      <c r="M289" s="19">
        <f>IF(OR(J289="متأخرة",J289="اليوم"),COUNTIFS($J$6:$J$505,"متأخرة",$E$6:$E$505,"&lt;"&amp;E289)+COUNTIFS($J$6:$J$505,"اليوم",$E$6:$E$505,"&lt;"&amp;E289)+COUNTIFS($E$6:E289,E289&amp;"",$J$6:J289,J289),"")</f>
        <v/>
      </c>
    </row>
    <row r="290">
      <c r="A290" s="5" t="n"/>
      <c r="B290" s="5" t="n"/>
      <c r="C290" s="5" t="n"/>
      <c r="D290" s="16" t="n"/>
      <c r="E290" s="13" t="n"/>
      <c r="F290" s="13" t="n"/>
      <c r="G290" s="5" t="n"/>
      <c r="H290" s="17">
        <f>IF(C290&amp;""="","",IFERROR(VLOOKUP(C290,'الإعدادات'!$A$8:$B$13,2,FALSE),""))</f>
        <v/>
      </c>
      <c r="I290" s="18">
        <f>IF(OR(H290="",NOT(ISNUMBER(D290))),"",ROUND(D290*H290,2))</f>
        <v/>
      </c>
      <c r="J290" s="6">
        <f>IF(A290&amp;""="","",IF(OR(C290="تم",C290="خسارة"),"مغلقة",IF(NOT(ISNUMBER(E290)),"بلا موعد",IF(E290&lt;'الإعدادات'!$B$4,"متأخرة",IF(E290='الإعدادات'!$B$4,"اليوم","قادمة")))))</f>
        <v/>
      </c>
      <c r="K290" s="19">
        <f>IF(OR(J290="متأخرة",J290="اليوم"),'الإعدادات'!$B$4-E290,"")</f>
        <v/>
      </c>
      <c r="L290" s="19">
        <f>IF(OR(A290&amp;""="",NOT(ISNUMBER(F290))),"",'الإعدادات'!$B$4-F290)</f>
        <v/>
      </c>
      <c r="M290" s="19">
        <f>IF(OR(J290="متأخرة",J290="اليوم"),COUNTIFS($J$6:$J$505,"متأخرة",$E$6:$E$505,"&lt;"&amp;E290)+COUNTIFS($J$6:$J$505,"اليوم",$E$6:$E$505,"&lt;"&amp;E290)+COUNTIFS($E$6:E290,E290&amp;"",$J$6:J290,J290),"")</f>
        <v/>
      </c>
    </row>
    <row r="291">
      <c r="A291" s="5" t="n"/>
      <c r="B291" s="5" t="n"/>
      <c r="C291" s="5" t="n"/>
      <c r="D291" s="16" t="n"/>
      <c r="E291" s="13" t="n"/>
      <c r="F291" s="13" t="n"/>
      <c r="G291" s="5" t="n"/>
      <c r="H291" s="17">
        <f>IF(C291&amp;""="","",IFERROR(VLOOKUP(C291,'الإعدادات'!$A$8:$B$13,2,FALSE),""))</f>
        <v/>
      </c>
      <c r="I291" s="18">
        <f>IF(OR(H291="",NOT(ISNUMBER(D291))),"",ROUND(D291*H291,2))</f>
        <v/>
      </c>
      <c r="J291" s="6">
        <f>IF(A291&amp;""="","",IF(OR(C291="تم",C291="خسارة"),"مغلقة",IF(NOT(ISNUMBER(E291)),"بلا موعد",IF(E291&lt;'الإعدادات'!$B$4,"متأخرة",IF(E291='الإعدادات'!$B$4,"اليوم","قادمة")))))</f>
        <v/>
      </c>
      <c r="K291" s="19">
        <f>IF(OR(J291="متأخرة",J291="اليوم"),'الإعدادات'!$B$4-E291,"")</f>
        <v/>
      </c>
      <c r="L291" s="19">
        <f>IF(OR(A291&amp;""="",NOT(ISNUMBER(F291))),"",'الإعدادات'!$B$4-F291)</f>
        <v/>
      </c>
      <c r="M291" s="19">
        <f>IF(OR(J291="متأخرة",J291="اليوم"),COUNTIFS($J$6:$J$505,"متأخرة",$E$6:$E$505,"&lt;"&amp;E291)+COUNTIFS($J$6:$J$505,"اليوم",$E$6:$E$505,"&lt;"&amp;E291)+COUNTIFS($E$6:E291,E291&amp;"",$J$6:J291,J291),"")</f>
        <v/>
      </c>
    </row>
    <row r="292">
      <c r="A292" s="5" t="n"/>
      <c r="B292" s="5" t="n"/>
      <c r="C292" s="5" t="n"/>
      <c r="D292" s="16" t="n"/>
      <c r="E292" s="13" t="n"/>
      <c r="F292" s="13" t="n"/>
      <c r="G292" s="5" t="n"/>
      <c r="H292" s="17">
        <f>IF(C292&amp;""="","",IFERROR(VLOOKUP(C292,'الإعدادات'!$A$8:$B$13,2,FALSE),""))</f>
        <v/>
      </c>
      <c r="I292" s="18">
        <f>IF(OR(H292="",NOT(ISNUMBER(D292))),"",ROUND(D292*H292,2))</f>
        <v/>
      </c>
      <c r="J292" s="6">
        <f>IF(A292&amp;""="","",IF(OR(C292="تم",C292="خسارة"),"مغلقة",IF(NOT(ISNUMBER(E292)),"بلا موعد",IF(E292&lt;'الإعدادات'!$B$4,"متأخرة",IF(E292='الإعدادات'!$B$4,"اليوم","قادمة")))))</f>
        <v/>
      </c>
      <c r="K292" s="19">
        <f>IF(OR(J292="متأخرة",J292="اليوم"),'الإعدادات'!$B$4-E292,"")</f>
        <v/>
      </c>
      <c r="L292" s="19">
        <f>IF(OR(A292&amp;""="",NOT(ISNUMBER(F292))),"",'الإعدادات'!$B$4-F292)</f>
        <v/>
      </c>
      <c r="M292" s="19">
        <f>IF(OR(J292="متأخرة",J292="اليوم"),COUNTIFS($J$6:$J$505,"متأخرة",$E$6:$E$505,"&lt;"&amp;E292)+COUNTIFS($J$6:$J$505,"اليوم",$E$6:$E$505,"&lt;"&amp;E292)+COUNTIFS($E$6:E292,E292&amp;"",$J$6:J292,J292),"")</f>
        <v/>
      </c>
    </row>
    <row r="293">
      <c r="A293" s="5" t="n"/>
      <c r="B293" s="5" t="n"/>
      <c r="C293" s="5" t="n"/>
      <c r="D293" s="16" t="n"/>
      <c r="E293" s="13" t="n"/>
      <c r="F293" s="13" t="n"/>
      <c r="G293" s="5" t="n"/>
      <c r="H293" s="17">
        <f>IF(C293&amp;""="","",IFERROR(VLOOKUP(C293,'الإعدادات'!$A$8:$B$13,2,FALSE),""))</f>
        <v/>
      </c>
      <c r="I293" s="18">
        <f>IF(OR(H293="",NOT(ISNUMBER(D293))),"",ROUND(D293*H293,2))</f>
        <v/>
      </c>
      <c r="J293" s="6">
        <f>IF(A293&amp;""="","",IF(OR(C293="تم",C293="خسارة"),"مغلقة",IF(NOT(ISNUMBER(E293)),"بلا موعد",IF(E293&lt;'الإعدادات'!$B$4,"متأخرة",IF(E293='الإعدادات'!$B$4,"اليوم","قادمة")))))</f>
        <v/>
      </c>
      <c r="K293" s="19">
        <f>IF(OR(J293="متأخرة",J293="اليوم"),'الإعدادات'!$B$4-E293,"")</f>
        <v/>
      </c>
      <c r="L293" s="19">
        <f>IF(OR(A293&amp;""="",NOT(ISNUMBER(F293))),"",'الإعدادات'!$B$4-F293)</f>
        <v/>
      </c>
      <c r="M293" s="19">
        <f>IF(OR(J293="متأخرة",J293="اليوم"),COUNTIFS($J$6:$J$505,"متأخرة",$E$6:$E$505,"&lt;"&amp;E293)+COUNTIFS($J$6:$J$505,"اليوم",$E$6:$E$505,"&lt;"&amp;E293)+COUNTIFS($E$6:E293,E293&amp;"",$J$6:J293,J293),"")</f>
        <v/>
      </c>
    </row>
    <row r="294">
      <c r="A294" s="5" t="n"/>
      <c r="B294" s="5" t="n"/>
      <c r="C294" s="5" t="n"/>
      <c r="D294" s="16" t="n"/>
      <c r="E294" s="13" t="n"/>
      <c r="F294" s="13" t="n"/>
      <c r="G294" s="5" t="n"/>
      <c r="H294" s="17">
        <f>IF(C294&amp;""="","",IFERROR(VLOOKUP(C294,'الإعدادات'!$A$8:$B$13,2,FALSE),""))</f>
        <v/>
      </c>
      <c r="I294" s="18">
        <f>IF(OR(H294="",NOT(ISNUMBER(D294))),"",ROUND(D294*H294,2))</f>
        <v/>
      </c>
      <c r="J294" s="6">
        <f>IF(A294&amp;""="","",IF(OR(C294="تم",C294="خسارة"),"مغلقة",IF(NOT(ISNUMBER(E294)),"بلا موعد",IF(E294&lt;'الإعدادات'!$B$4,"متأخرة",IF(E294='الإعدادات'!$B$4,"اليوم","قادمة")))))</f>
        <v/>
      </c>
      <c r="K294" s="19">
        <f>IF(OR(J294="متأخرة",J294="اليوم"),'الإعدادات'!$B$4-E294,"")</f>
        <v/>
      </c>
      <c r="L294" s="19">
        <f>IF(OR(A294&amp;""="",NOT(ISNUMBER(F294))),"",'الإعدادات'!$B$4-F294)</f>
        <v/>
      </c>
      <c r="M294" s="19">
        <f>IF(OR(J294="متأخرة",J294="اليوم"),COUNTIFS($J$6:$J$505,"متأخرة",$E$6:$E$505,"&lt;"&amp;E294)+COUNTIFS($J$6:$J$505,"اليوم",$E$6:$E$505,"&lt;"&amp;E294)+COUNTIFS($E$6:E294,E294&amp;"",$J$6:J294,J294),"")</f>
        <v/>
      </c>
    </row>
    <row r="295">
      <c r="A295" s="5" t="n"/>
      <c r="B295" s="5" t="n"/>
      <c r="C295" s="5" t="n"/>
      <c r="D295" s="16" t="n"/>
      <c r="E295" s="13" t="n"/>
      <c r="F295" s="13" t="n"/>
      <c r="G295" s="5" t="n"/>
      <c r="H295" s="17">
        <f>IF(C295&amp;""="","",IFERROR(VLOOKUP(C295,'الإعدادات'!$A$8:$B$13,2,FALSE),""))</f>
        <v/>
      </c>
      <c r="I295" s="18">
        <f>IF(OR(H295="",NOT(ISNUMBER(D295))),"",ROUND(D295*H295,2))</f>
        <v/>
      </c>
      <c r="J295" s="6">
        <f>IF(A295&amp;""="","",IF(OR(C295="تم",C295="خسارة"),"مغلقة",IF(NOT(ISNUMBER(E295)),"بلا موعد",IF(E295&lt;'الإعدادات'!$B$4,"متأخرة",IF(E295='الإعدادات'!$B$4,"اليوم","قادمة")))))</f>
        <v/>
      </c>
      <c r="K295" s="19">
        <f>IF(OR(J295="متأخرة",J295="اليوم"),'الإعدادات'!$B$4-E295,"")</f>
        <v/>
      </c>
      <c r="L295" s="19">
        <f>IF(OR(A295&amp;""="",NOT(ISNUMBER(F295))),"",'الإعدادات'!$B$4-F295)</f>
        <v/>
      </c>
      <c r="M295" s="19">
        <f>IF(OR(J295="متأخرة",J295="اليوم"),COUNTIFS($J$6:$J$505,"متأخرة",$E$6:$E$505,"&lt;"&amp;E295)+COUNTIFS($J$6:$J$505,"اليوم",$E$6:$E$505,"&lt;"&amp;E295)+COUNTIFS($E$6:E295,E295&amp;"",$J$6:J295,J295),"")</f>
        <v/>
      </c>
    </row>
    <row r="296">
      <c r="A296" s="5" t="n"/>
      <c r="B296" s="5" t="n"/>
      <c r="C296" s="5" t="n"/>
      <c r="D296" s="16" t="n"/>
      <c r="E296" s="13" t="n"/>
      <c r="F296" s="13" t="n"/>
      <c r="G296" s="5" t="n"/>
      <c r="H296" s="17">
        <f>IF(C296&amp;""="","",IFERROR(VLOOKUP(C296,'الإعدادات'!$A$8:$B$13,2,FALSE),""))</f>
        <v/>
      </c>
      <c r="I296" s="18">
        <f>IF(OR(H296="",NOT(ISNUMBER(D296))),"",ROUND(D296*H296,2))</f>
        <v/>
      </c>
      <c r="J296" s="6">
        <f>IF(A296&amp;""="","",IF(OR(C296="تم",C296="خسارة"),"مغلقة",IF(NOT(ISNUMBER(E296)),"بلا موعد",IF(E296&lt;'الإعدادات'!$B$4,"متأخرة",IF(E296='الإعدادات'!$B$4,"اليوم","قادمة")))))</f>
        <v/>
      </c>
      <c r="K296" s="19">
        <f>IF(OR(J296="متأخرة",J296="اليوم"),'الإعدادات'!$B$4-E296,"")</f>
        <v/>
      </c>
      <c r="L296" s="19">
        <f>IF(OR(A296&amp;""="",NOT(ISNUMBER(F296))),"",'الإعدادات'!$B$4-F296)</f>
        <v/>
      </c>
      <c r="M296" s="19">
        <f>IF(OR(J296="متأخرة",J296="اليوم"),COUNTIFS($J$6:$J$505,"متأخرة",$E$6:$E$505,"&lt;"&amp;E296)+COUNTIFS($J$6:$J$505,"اليوم",$E$6:$E$505,"&lt;"&amp;E296)+COUNTIFS($E$6:E296,E296&amp;"",$J$6:J296,J296),"")</f>
        <v/>
      </c>
    </row>
    <row r="297">
      <c r="A297" s="5" t="n"/>
      <c r="B297" s="5" t="n"/>
      <c r="C297" s="5" t="n"/>
      <c r="D297" s="16" t="n"/>
      <c r="E297" s="13" t="n"/>
      <c r="F297" s="13" t="n"/>
      <c r="G297" s="5" t="n"/>
      <c r="H297" s="17">
        <f>IF(C297&amp;""="","",IFERROR(VLOOKUP(C297,'الإعدادات'!$A$8:$B$13,2,FALSE),""))</f>
        <v/>
      </c>
      <c r="I297" s="18">
        <f>IF(OR(H297="",NOT(ISNUMBER(D297))),"",ROUND(D297*H297,2))</f>
        <v/>
      </c>
      <c r="J297" s="6">
        <f>IF(A297&amp;""="","",IF(OR(C297="تم",C297="خسارة"),"مغلقة",IF(NOT(ISNUMBER(E297)),"بلا موعد",IF(E297&lt;'الإعدادات'!$B$4,"متأخرة",IF(E297='الإعدادات'!$B$4,"اليوم","قادمة")))))</f>
        <v/>
      </c>
      <c r="K297" s="19">
        <f>IF(OR(J297="متأخرة",J297="اليوم"),'الإعدادات'!$B$4-E297,"")</f>
        <v/>
      </c>
      <c r="L297" s="19">
        <f>IF(OR(A297&amp;""="",NOT(ISNUMBER(F297))),"",'الإعدادات'!$B$4-F297)</f>
        <v/>
      </c>
      <c r="M297" s="19">
        <f>IF(OR(J297="متأخرة",J297="اليوم"),COUNTIFS($J$6:$J$505,"متأخرة",$E$6:$E$505,"&lt;"&amp;E297)+COUNTIFS($J$6:$J$505,"اليوم",$E$6:$E$505,"&lt;"&amp;E297)+COUNTIFS($E$6:E297,E297&amp;"",$J$6:J297,J297),"")</f>
        <v/>
      </c>
    </row>
    <row r="298">
      <c r="A298" s="5" t="n"/>
      <c r="B298" s="5" t="n"/>
      <c r="C298" s="5" t="n"/>
      <c r="D298" s="16" t="n"/>
      <c r="E298" s="13" t="n"/>
      <c r="F298" s="13" t="n"/>
      <c r="G298" s="5" t="n"/>
      <c r="H298" s="17">
        <f>IF(C298&amp;""="","",IFERROR(VLOOKUP(C298,'الإعدادات'!$A$8:$B$13,2,FALSE),""))</f>
        <v/>
      </c>
      <c r="I298" s="18">
        <f>IF(OR(H298="",NOT(ISNUMBER(D298))),"",ROUND(D298*H298,2))</f>
        <v/>
      </c>
      <c r="J298" s="6">
        <f>IF(A298&amp;""="","",IF(OR(C298="تم",C298="خسارة"),"مغلقة",IF(NOT(ISNUMBER(E298)),"بلا موعد",IF(E298&lt;'الإعدادات'!$B$4,"متأخرة",IF(E298='الإعدادات'!$B$4,"اليوم","قادمة")))))</f>
        <v/>
      </c>
      <c r="K298" s="19">
        <f>IF(OR(J298="متأخرة",J298="اليوم"),'الإعدادات'!$B$4-E298,"")</f>
        <v/>
      </c>
      <c r="L298" s="19">
        <f>IF(OR(A298&amp;""="",NOT(ISNUMBER(F298))),"",'الإعدادات'!$B$4-F298)</f>
        <v/>
      </c>
      <c r="M298" s="19">
        <f>IF(OR(J298="متأخرة",J298="اليوم"),COUNTIFS($J$6:$J$505,"متأخرة",$E$6:$E$505,"&lt;"&amp;E298)+COUNTIFS($J$6:$J$505,"اليوم",$E$6:$E$505,"&lt;"&amp;E298)+COUNTIFS($E$6:E298,E298&amp;"",$J$6:J298,J298),"")</f>
        <v/>
      </c>
    </row>
    <row r="299">
      <c r="A299" s="5" t="n"/>
      <c r="B299" s="5" t="n"/>
      <c r="C299" s="5" t="n"/>
      <c r="D299" s="16" t="n"/>
      <c r="E299" s="13" t="n"/>
      <c r="F299" s="13" t="n"/>
      <c r="G299" s="5" t="n"/>
      <c r="H299" s="17">
        <f>IF(C299&amp;""="","",IFERROR(VLOOKUP(C299,'الإعدادات'!$A$8:$B$13,2,FALSE),""))</f>
        <v/>
      </c>
      <c r="I299" s="18">
        <f>IF(OR(H299="",NOT(ISNUMBER(D299))),"",ROUND(D299*H299,2))</f>
        <v/>
      </c>
      <c r="J299" s="6">
        <f>IF(A299&amp;""="","",IF(OR(C299="تم",C299="خسارة"),"مغلقة",IF(NOT(ISNUMBER(E299)),"بلا موعد",IF(E299&lt;'الإعدادات'!$B$4,"متأخرة",IF(E299='الإعدادات'!$B$4,"اليوم","قادمة")))))</f>
        <v/>
      </c>
      <c r="K299" s="19">
        <f>IF(OR(J299="متأخرة",J299="اليوم"),'الإعدادات'!$B$4-E299,"")</f>
        <v/>
      </c>
      <c r="L299" s="19">
        <f>IF(OR(A299&amp;""="",NOT(ISNUMBER(F299))),"",'الإعدادات'!$B$4-F299)</f>
        <v/>
      </c>
      <c r="M299" s="19">
        <f>IF(OR(J299="متأخرة",J299="اليوم"),COUNTIFS($J$6:$J$505,"متأخرة",$E$6:$E$505,"&lt;"&amp;E299)+COUNTIFS($J$6:$J$505,"اليوم",$E$6:$E$505,"&lt;"&amp;E299)+COUNTIFS($E$6:E299,E299&amp;"",$J$6:J299,J299),"")</f>
        <v/>
      </c>
    </row>
    <row r="300">
      <c r="A300" s="5" t="n"/>
      <c r="B300" s="5" t="n"/>
      <c r="C300" s="5" t="n"/>
      <c r="D300" s="16" t="n"/>
      <c r="E300" s="13" t="n"/>
      <c r="F300" s="13" t="n"/>
      <c r="G300" s="5" t="n"/>
      <c r="H300" s="17">
        <f>IF(C300&amp;""="","",IFERROR(VLOOKUP(C300,'الإعدادات'!$A$8:$B$13,2,FALSE),""))</f>
        <v/>
      </c>
      <c r="I300" s="18">
        <f>IF(OR(H300="",NOT(ISNUMBER(D300))),"",ROUND(D300*H300,2))</f>
        <v/>
      </c>
      <c r="J300" s="6">
        <f>IF(A300&amp;""="","",IF(OR(C300="تم",C300="خسارة"),"مغلقة",IF(NOT(ISNUMBER(E300)),"بلا موعد",IF(E300&lt;'الإعدادات'!$B$4,"متأخرة",IF(E300='الإعدادات'!$B$4,"اليوم","قادمة")))))</f>
        <v/>
      </c>
      <c r="K300" s="19">
        <f>IF(OR(J300="متأخرة",J300="اليوم"),'الإعدادات'!$B$4-E300,"")</f>
        <v/>
      </c>
      <c r="L300" s="19">
        <f>IF(OR(A300&amp;""="",NOT(ISNUMBER(F300))),"",'الإعدادات'!$B$4-F300)</f>
        <v/>
      </c>
      <c r="M300" s="19">
        <f>IF(OR(J300="متأخرة",J300="اليوم"),COUNTIFS($J$6:$J$505,"متأخرة",$E$6:$E$505,"&lt;"&amp;E300)+COUNTIFS($J$6:$J$505,"اليوم",$E$6:$E$505,"&lt;"&amp;E300)+COUNTIFS($E$6:E300,E300&amp;"",$J$6:J300,J300),"")</f>
        <v/>
      </c>
    </row>
    <row r="301">
      <c r="A301" s="5" t="n"/>
      <c r="B301" s="5" t="n"/>
      <c r="C301" s="5" t="n"/>
      <c r="D301" s="16" t="n"/>
      <c r="E301" s="13" t="n"/>
      <c r="F301" s="13" t="n"/>
      <c r="G301" s="5" t="n"/>
      <c r="H301" s="17">
        <f>IF(C301&amp;""="","",IFERROR(VLOOKUP(C301,'الإعدادات'!$A$8:$B$13,2,FALSE),""))</f>
        <v/>
      </c>
      <c r="I301" s="18">
        <f>IF(OR(H301="",NOT(ISNUMBER(D301))),"",ROUND(D301*H301,2))</f>
        <v/>
      </c>
      <c r="J301" s="6">
        <f>IF(A301&amp;""="","",IF(OR(C301="تم",C301="خسارة"),"مغلقة",IF(NOT(ISNUMBER(E301)),"بلا موعد",IF(E301&lt;'الإعدادات'!$B$4,"متأخرة",IF(E301='الإعدادات'!$B$4,"اليوم","قادمة")))))</f>
        <v/>
      </c>
      <c r="K301" s="19">
        <f>IF(OR(J301="متأخرة",J301="اليوم"),'الإعدادات'!$B$4-E301,"")</f>
        <v/>
      </c>
      <c r="L301" s="19">
        <f>IF(OR(A301&amp;""="",NOT(ISNUMBER(F301))),"",'الإعدادات'!$B$4-F301)</f>
        <v/>
      </c>
      <c r="M301" s="19">
        <f>IF(OR(J301="متأخرة",J301="اليوم"),COUNTIFS($J$6:$J$505,"متأخرة",$E$6:$E$505,"&lt;"&amp;E301)+COUNTIFS($J$6:$J$505,"اليوم",$E$6:$E$505,"&lt;"&amp;E301)+COUNTIFS($E$6:E301,E301&amp;"",$J$6:J301,J301),"")</f>
        <v/>
      </c>
    </row>
    <row r="302">
      <c r="A302" s="5" t="n"/>
      <c r="B302" s="5" t="n"/>
      <c r="C302" s="5" t="n"/>
      <c r="D302" s="16" t="n"/>
      <c r="E302" s="13" t="n"/>
      <c r="F302" s="13" t="n"/>
      <c r="G302" s="5" t="n"/>
      <c r="H302" s="17">
        <f>IF(C302&amp;""="","",IFERROR(VLOOKUP(C302,'الإعدادات'!$A$8:$B$13,2,FALSE),""))</f>
        <v/>
      </c>
      <c r="I302" s="18">
        <f>IF(OR(H302="",NOT(ISNUMBER(D302))),"",ROUND(D302*H302,2))</f>
        <v/>
      </c>
      <c r="J302" s="6">
        <f>IF(A302&amp;""="","",IF(OR(C302="تم",C302="خسارة"),"مغلقة",IF(NOT(ISNUMBER(E302)),"بلا موعد",IF(E302&lt;'الإعدادات'!$B$4,"متأخرة",IF(E302='الإعدادات'!$B$4,"اليوم","قادمة")))))</f>
        <v/>
      </c>
      <c r="K302" s="19">
        <f>IF(OR(J302="متأخرة",J302="اليوم"),'الإعدادات'!$B$4-E302,"")</f>
        <v/>
      </c>
      <c r="L302" s="19">
        <f>IF(OR(A302&amp;""="",NOT(ISNUMBER(F302))),"",'الإعدادات'!$B$4-F302)</f>
        <v/>
      </c>
      <c r="M302" s="19">
        <f>IF(OR(J302="متأخرة",J302="اليوم"),COUNTIFS($J$6:$J$505,"متأخرة",$E$6:$E$505,"&lt;"&amp;E302)+COUNTIFS($J$6:$J$505,"اليوم",$E$6:$E$505,"&lt;"&amp;E302)+COUNTIFS($E$6:E302,E302&amp;"",$J$6:J302,J302),"")</f>
        <v/>
      </c>
    </row>
    <row r="303">
      <c r="A303" s="5" t="n"/>
      <c r="B303" s="5" t="n"/>
      <c r="C303" s="5" t="n"/>
      <c r="D303" s="16" t="n"/>
      <c r="E303" s="13" t="n"/>
      <c r="F303" s="13" t="n"/>
      <c r="G303" s="5" t="n"/>
      <c r="H303" s="17">
        <f>IF(C303&amp;""="","",IFERROR(VLOOKUP(C303,'الإعدادات'!$A$8:$B$13,2,FALSE),""))</f>
        <v/>
      </c>
      <c r="I303" s="18">
        <f>IF(OR(H303="",NOT(ISNUMBER(D303))),"",ROUND(D303*H303,2))</f>
        <v/>
      </c>
      <c r="J303" s="6">
        <f>IF(A303&amp;""="","",IF(OR(C303="تم",C303="خسارة"),"مغلقة",IF(NOT(ISNUMBER(E303)),"بلا موعد",IF(E303&lt;'الإعدادات'!$B$4,"متأخرة",IF(E303='الإعدادات'!$B$4,"اليوم","قادمة")))))</f>
        <v/>
      </c>
      <c r="K303" s="19">
        <f>IF(OR(J303="متأخرة",J303="اليوم"),'الإعدادات'!$B$4-E303,"")</f>
        <v/>
      </c>
      <c r="L303" s="19">
        <f>IF(OR(A303&amp;""="",NOT(ISNUMBER(F303))),"",'الإعدادات'!$B$4-F303)</f>
        <v/>
      </c>
      <c r="M303" s="19">
        <f>IF(OR(J303="متأخرة",J303="اليوم"),COUNTIFS($J$6:$J$505,"متأخرة",$E$6:$E$505,"&lt;"&amp;E303)+COUNTIFS($J$6:$J$505,"اليوم",$E$6:$E$505,"&lt;"&amp;E303)+COUNTIFS($E$6:E303,E303&amp;"",$J$6:J303,J303),"")</f>
        <v/>
      </c>
    </row>
    <row r="304">
      <c r="A304" s="5" t="n"/>
      <c r="B304" s="5" t="n"/>
      <c r="C304" s="5" t="n"/>
      <c r="D304" s="16" t="n"/>
      <c r="E304" s="13" t="n"/>
      <c r="F304" s="13" t="n"/>
      <c r="G304" s="5" t="n"/>
      <c r="H304" s="17">
        <f>IF(C304&amp;""="","",IFERROR(VLOOKUP(C304,'الإعدادات'!$A$8:$B$13,2,FALSE),""))</f>
        <v/>
      </c>
      <c r="I304" s="18">
        <f>IF(OR(H304="",NOT(ISNUMBER(D304))),"",ROUND(D304*H304,2))</f>
        <v/>
      </c>
      <c r="J304" s="6">
        <f>IF(A304&amp;""="","",IF(OR(C304="تم",C304="خسارة"),"مغلقة",IF(NOT(ISNUMBER(E304)),"بلا موعد",IF(E304&lt;'الإعدادات'!$B$4,"متأخرة",IF(E304='الإعدادات'!$B$4,"اليوم","قادمة")))))</f>
        <v/>
      </c>
      <c r="K304" s="19">
        <f>IF(OR(J304="متأخرة",J304="اليوم"),'الإعدادات'!$B$4-E304,"")</f>
        <v/>
      </c>
      <c r="L304" s="19">
        <f>IF(OR(A304&amp;""="",NOT(ISNUMBER(F304))),"",'الإعدادات'!$B$4-F304)</f>
        <v/>
      </c>
      <c r="M304" s="19">
        <f>IF(OR(J304="متأخرة",J304="اليوم"),COUNTIFS($J$6:$J$505,"متأخرة",$E$6:$E$505,"&lt;"&amp;E304)+COUNTIFS($J$6:$J$505,"اليوم",$E$6:$E$505,"&lt;"&amp;E304)+COUNTIFS($E$6:E304,E304&amp;"",$J$6:J304,J304),"")</f>
        <v/>
      </c>
    </row>
    <row r="305">
      <c r="A305" s="5" t="n"/>
      <c r="B305" s="5" t="n"/>
      <c r="C305" s="5" t="n"/>
      <c r="D305" s="16" t="n"/>
      <c r="E305" s="13" t="n"/>
      <c r="F305" s="13" t="n"/>
      <c r="G305" s="5" t="n"/>
      <c r="H305" s="17">
        <f>IF(C305&amp;""="","",IFERROR(VLOOKUP(C305,'الإعدادات'!$A$8:$B$13,2,FALSE),""))</f>
        <v/>
      </c>
      <c r="I305" s="18">
        <f>IF(OR(H305="",NOT(ISNUMBER(D305))),"",ROUND(D305*H305,2))</f>
        <v/>
      </c>
      <c r="J305" s="6">
        <f>IF(A305&amp;""="","",IF(OR(C305="تم",C305="خسارة"),"مغلقة",IF(NOT(ISNUMBER(E305)),"بلا موعد",IF(E305&lt;'الإعدادات'!$B$4,"متأخرة",IF(E305='الإعدادات'!$B$4,"اليوم","قادمة")))))</f>
        <v/>
      </c>
      <c r="K305" s="19">
        <f>IF(OR(J305="متأخرة",J305="اليوم"),'الإعدادات'!$B$4-E305,"")</f>
        <v/>
      </c>
      <c r="L305" s="19">
        <f>IF(OR(A305&amp;""="",NOT(ISNUMBER(F305))),"",'الإعدادات'!$B$4-F305)</f>
        <v/>
      </c>
      <c r="M305" s="19">
        <f>IF(OR(J305="متأخرة",J305="اليوم"),COUNTIFS($J$6:$J$505,"متأخرة",$E$6:$E$505,"&lt;"&amp;E305)+COUNTIFS($J$6:$J$505,"اليوم",$E$6:$E$505,"&lt;"&amp;E305)+COUNTIFS($E$6:E305,E305&amp;"",$J$6:J305,J305),"")</f>
        <v/>
      </c>
    </row>
    <row r="306">
      <c r="A306" s="5" t="n"/>
      <c r="B306" s="5" t="n"/>
      <c r="C306" s="5" t="n"/>
      <c r="D306" s="16" t="n"/>
      <c r="E306" s="13" t="n"/>
      <c r="F306" s="13" t="n"/>
      <c r="G306" s="5" t="n"/>
      <c r="H306" s="17">
        <f>IF(C306&amp;""="","",IFERROR(VLOOKUP(C306,'الإعدادات'!$A$8:$B$13,2,FALSE),""))</f>
        <v/>
      </c>
      <c r="I306" s="18">
        <f>IF(OR(H306="",NOT(ISNUMBER(D306))),"",ROUND(D306*H306,2))</f>
        <v/>
      </c>
      <c r="J306" s="6">
        <f>IF(A306&amp;""="","",IF(OR(C306="تم",C306="خسارة"),"مغلقة",IF(NOT(ISNUMBER(E306)),"بلا موعد",IF(E306&lt;'الإعدادات'!$B$4,"متأخرة",IF(E306='الإعدادات'!$B$4,"اليوم","قادمة")))))</f>
        <v/>
      </c>
      <c r="K306" s="19">
        <f>IF(OR(J306="متأخرة",J306="اليوم"),'الإعدادات'!$B$4-E306,"")</f>
        <v/>
      </c>
      <c r="L306" s="19">
        <f>IF(OR(A306&amp;""="",NOT(ISNUMBER(F306))),"",'الإعدادات'!$B$4-F306)</f>
        <v/>
      </c>
      <c r="M306" s="19">
        <f>IF(OR(J306="متأخرة",J306="اليوم"),COUNTIFS($J$6:$J$505,"متأخرة",$E$6:$E$505,"&lt;"&amp;E306)+COUNTIFS($J$6:$J$505,"اليوم",$E$6:$E$505,"&lt;"&amp;E306)+COUNTIFS($E$6:E306,E306&amp;"",$J$6:J306,J306),"")</f>
        <v/>
      </c>
    </row>
    <row r="307">
      <c r="A307" s="5" t="n"/>
      <c r="B307" s="5" t="n"/>
      <c r="C307" s="5" t="n"/>
      <c r="D307" s="16" t="n"/>
      <c r="E307" s="13" t="n"/>
      <c r="F307" s="13" t="n"/>
      <c r="G307" s="5" t="n"/>
      <c r="H307" s="17">
        <f>IF(C307&amp;""="","",IFERROR(VLOOKUP(C307,'الإعدادات'!$A$8:$B$13,2,FALSE),""))</f>
        <v/>
      </c>
      <c r="I307" s="18">
        <f>IF(OR(H307="",NOT(ISNUMBER(D307))),"",ROUND(D307*H307,2))</f>
        <v/>
      </c>
      <c r="J307" s="6">
        <f>IF(A307&amp;""="","",IF(OR(C307="تم",C307="خسارة"),"مغلقة",IF(NOT(ISNUMBER(E307)),"بلا موعد",IF(E307&lt;'الإعدادات'!$B$4,"متأخرة",IF(E307='الإعدادات'!$B$4,"اليوم","قادمة")))))</f>
        <v/>
      </c>
      <c r="K307" s="19">
        <f>IF(OR(J307="متأخرة",J307="اليوم"),'الإعدادات'!$B$4-E307,"")</f>
        <v/>
      </c>
      <c r="L307" s="19">
        <f>IF(OR(A307&amp;""="",NOT(ISNUMBER(F307))),"",'الإعدادات'!$B$4-F307)</f>
        <v/>
      </c>
      <c r="M307" s="19">
        <f>IF(OR(J307="متأخرة",J307="اليوم"),COUNTIFS($J$6:$J$505,"متأخرة",$E$6:$E$505,"&lt;"&amp;E307)+COUNTIFS($J$6:$J$505,"اليوم",$E$6:$E$505,"&lt;"&amp;E307)+COUNTIFS($E$6:E307,E307&amp;"",$J$6:J307,J307),"")</f>
        <v/>
      </c>
    </row>
    <row r="308">
      <c r="A308" s="5" t="n"/>
      <c r="B308" s="5" t="n"/>
      <c r="C308" s="5" t="n"/>
      <c r="D308" s="16" t="n"/>
      <c r="E308" s="13" t="n"/>
      <c r="F308" s="13" t="n"/>
      <c r="G308" s="5" t="n"/>
      <c r="H308" s="17">
        <f>IF(C308&amp;""="","",IFERROR(VLOOKUP(C308,'الإعدادات'!$A$8:$B$13,2,FALSE),""))</f>
        <v/>
      </c>
      <c r="I308" s="18">
        <f>IF(OR(H308="",NOT(ISNUMBER(D308))),"",ROUND(D308*H308,2))</f>
        <v/>
      </c>
      <c r="J308" s="6">
        <f>IF(A308&amp;""="","",IF(OR(C308="تم",C308="خسارة"),"مغلقة",IF(NOT(ISNUMBER(E308)),"بلا موعد",IF(E308&lt;'الإعدادات'!$B$4,"متأخرة",IF(E308='الإعدادات'!$B$4,"اليوم","قادمة")))))</f>
        <v/>
      </c>
      <c r="K308" s="19">
        <f>IF(OR(J308="متأخرة",J308="اليوم"),'الإعدادات'!$B$4-E308,"")</f>
        <v/>
      </c>
      <c r="L308" s="19">
        <f>IF(OR(A308&amp;""="",NOT(ISNUMBER(F308))),"",'الإعدادات'!$B$4-F308)</f>
        <v/>
      </c>
      <c r="M308" s="19">
        <f>IF(OR(J308="متأخرة",J308="اليوم"),COUNTIFS($J$6:$J$505,"متأخرة",$E$6:$E$505,"&lt;"&amp;E308)+COUNTIFS($J$6:$J$505,"اليوم",$E$6:$E$505,"&lt;"&amp;E308)+COUNTIFS($E$6:E308,E308&amp;"",$J$6:J308,J308),"")</f>
        <v/>
      </c>
    </row>
    <row r="309">
      <c r="A309" s="5" t="n"/>
      <c r="B309" s="5" t="n"/>
      <c r="C309" s="5" t="n"/>
      <c r="D309" s="16" t="n"/>
      <c r="E309" s="13" t="n"/>
      <c r="F309" s="13" t="n"/>
      <c r="G309" s="5" t="n"/>
      <c r="H309" s="17">
        <f>IF(C309&amp;""="","",IFERROR(VLOOKUP(C309,'الإعدادات'!$A$8:$B$13,2,FALSE),""))</f>
        <v/>
      </c>
      <c r="I309" s="18">
        <f>IF(OR(H309="",NOT(ISNUMBER(D309))),"",ROUND(D309*H309,2))</f>
        <v/>
      </c>
      <c r="J309" s="6">
        <f>IF(A309&amp;""="","",IF(OR(C309="تم",C309="خسارة"),"مغلقة",IF(NOT(ISNUMBER(E309)),"بلا موعد",IF(E309&lt;'الإعدادات'!$B$4,"متأخرة",IF(E309='الإعدادات'!$B$4,"اليوم","قادمة")))))</f>
        <v/>
      </c>
      <c r="K309" s="19">
        <f>IF(OR(J309="متأخرة",J309="اليوم"),'الإعدادات'!$B$4-E309,"")</f>
        <v/>
      </c>
      <c r="L309" s="19">
        <f>IF(OR(A309&amp;""="",NOT(ISNUMBER(F309))),"",'الإعدادات'!$B$4-F309)</f>
        <v/>
      </c>
      <c r="M309" s="19">
        <f>IF(OR(J309="متأخرة",J309="اليوم"),COUNTIFS($J$6:$J$505,"متأخرة",$E$6:$E$505,"&lt;"&amp;E309)+COUNTIFS($J$6:$J$505,"اليوم",$E$6:$E$505,"&lt;"&amp;E309)+COUNTIFS($E$6:E309,E309&amp;"",$J$6:J309,J309),"")</f>
        <v/>
      </c>
    </row>
    <row r="310">
      <c r="A310" s="5" t="n"/>
      <c r="B310" s="5" t="n"/>
      <c r="C310" s="5" t="n"/>
      <c r="D310" s="16" t="n"/>
      <c r="E310" s="13" t="n"/>
      <c r="F310" s="13" t="n"/>
      <c r="G310" s="5" t="n"/>
      <c r="H310" s="17">
        <f>IF(C310&amp;""="","",IFERROR(VLOOKUP(C310,'الإعدادات'!$A$8:$B$13,2,FALSE),""))</f>
        <v/>
      </c>
      <c r="I310" s="18">
        <f>IF(OR(H310="",NOT(ISNUMBER(D310))),"",ROUND(D310*H310,2))</f>
        <v/>
      </c>
      <c r="J310" s="6">
        <f>IF(A310&amp;""="","",IF(OR(C310="تم",C310="خسارة"),"مغلقة",IF(NOT(ISNUMBER(E310)),"بلا موعد",IF(E310&lt;'الإعدادات'!$B$4,"متأخرة",IF(E310='الإعدادات'!$B$4,"اليوم","قادمة")))))</f>
        <v/>
      </c>
      <c r="K310" s="19">
        <f>IF(OR(J310="متأخرة",J310="اليوم"),'الإعدادات'!$B$4-E310,"")</f>
        <v/>
      </c>
      <c r="L310" s="19">
        <f>IF(OR(A310&amp;""="",NOT(ISNUMBER(F310))),"",'الإعدادات'!$B$4-F310)</f>
        <v/>
      </c>
      <c r="M310" s="19">
        <f>IF(OR(J310="متأخرة",J310="اليوم"),COUNTIFS($J$6:$J$505,"متأخرة",$E$6:$E$505,"&lt;"&amp;E310)+COUNTIFS($J$6:$J$505,"اليوم",$E$6:$E$505,"&lt;"&amp;E310)+COUNTIFS($E$6:E310,E310&amp;"",$J$6:J310,J310),"")</f>
        <v/>
      </c>
    </row>
    <row r="311">
      <c r="A311" s="5" t="n"/>
      <c r="B311" s="5" t="n"/>
      <c r="C311" s="5" t="n"/>
      <c r="D311" s="16" t="n"/>
      <c r="E311" s="13" t="n"/>
      <c r="F311" s="13" t="n"/>
      <c r="G311" s="5" t="n"/>
      <c r="H311" s="17">
        <f>IF(C311&amp;""="","",IFERROR(VLOOKUP(C311,'الإعدادات'!$A$8:$B$13,2,FALSE),""))</f>
        <v/>
      </c>
      <c r="I311" s="18">
        <f>IF(OR(H311="",NOT(ISNUMBER(D311))),"",ROUND(D311*H311,2))</f>
        <v/>
      </c>
      <c r="J311" s="6">
        <f>IF(A311&amp;""="","",IF(OR(C311="تم",C311="خسارة"),"مغلقة",IF(NOT(ISNUMBER(E311)),"بلا موعد",IF(E311&lt;'الإعدادات'!$B$4,"متأخرة",IF(E311='الإعدادات'!$B$4,"اليوم","قادمة")))))</f>
        <v/>
      </c>
      <c r="K311" s="19">
        <f>IF(OR(J311="متأخرة",J311="اليوم"),'الإعدادات'!$B$4-E311,"")</f>
        <v/>
      </c>
      <c r="L311" s="19">
        <f>IF(OR(A311&amp;""="",NOT(ISNUMBER(F311))),"",'الإعدادات'!$B$4-F311)</f>
        <v/>
      </c>
      <c r="M311" s="19">
        <f>IF(OR(J311="متأخرة",J311="اليوم"),COUNTIFS($J$6:$J$505,"متأخرة",$E$6:$E$505,"&lt;"&amp;E311)+COUNTIFS($J$6:$J$505,"اليوم",$E$6:$E$505,"&lt;"&amp;E311)+COUNTIFS($E$6:E311,E311&amp;"",$J$6:J311,J311),"")</f>
        <v/>
      </c>
    </row>
    <row r="312">
      <c r="A312" s="5" t="n"/>
      <c r="B312" s="5" t="n"/>
      <c r="C312" s="5" t="n"/>
      <c r="D312" s="16" t="n"/>
      <c r="E312" s="13" t="n"/>
      <c r="F312" s="13" t="n"/>
      <c r="G312" s="5" t="n"/>
      <c r="H312" s="17">
        <f>IF(C312&amp;""="","",IFERROR(VLOOKUP(C312,'الإعدادات'!$A$8:$B$13,2,FALSE),""))</f>
        <v/>
      </c>
      <c r="I312" s="18">
        <f>IF(OR(H312="",NOT(ISNUMBER(D312))),"",ROUND(D312*H312,2))</f>
        <v/>
      </c>
      <c r="J312" s="6">
        <f>IF(A312&amp;""="","",IF(OR(C312="تم",C312="خسارة"),"مغلقة",IF(NOT(ISNUMBER(E312)),"بلا موعد",IF(E312&lt;'الإعدادات'!$B$4,"متأخرة",IF(E312='الإعدادات'!$B$4,"اليوم","قادمة")))))</f>
        <v/>
      </c>
      <c r="K312" s="19">
        <f>IF(OR(J312="متأخرة",J312="اليوم"),'الإعدادات'!$B$4-E312,"")</f>
        <v/>
      </c>
      <c r="L312" s="19">
        <f>IF(OR(A312&amp;""="",NOT(ISNUMBER(F312))),"",'الإعدادات'!$B$4-F312)</f>
        <v/>
      </c>
      <c r="M312" s="19">
        <f>IF(OR(J312="متأخرة",J312="اليوم"),COUNTIFS($J$6:$J$505,"متأخرة",$E$6:$E$505,"&lt;"&amp;E312)+COUNTIFS($J$6:$J$505,"اليوم",$E$6:$E$505,"&lt;"&amp;E312)+COUNTIFS($E$6:E312,E312&amp;"",$J$6:J312,J312),"")</f>
        <v/>
      </c>
    </row>
    <row r="313">
      <c r="A313" s="5" t="n"/>
      <c r="B313" s="5" t="n"/>
      <c r="C313" s="5" t="n"/>
      <c r="D313" s="16" t="n"/>
      <c r="E313" s="13" t="n"/>
      <c r="F313" s="13" t="n"/>
      <c r="G313" s="5" t="n"/>
      <c r="H313" s="17">
        <f>IF(C313&amp;""="","",IFERROR(VLOOKUP(C313,'الإعدادات'!$A$8:$B$13,2,FALSE),""))</f>
        <v/>
      </c>
      <c r="I313" s="18">
        <f>IF(OR(H313="",NOT(ISNUMBER(D313))),"",ROUND(D313*H313,2))</f>
        <v/>
      </c>
      <c r="J313" s="6">
        <f>IF(A313&amp;""="","",IF(OR(C313="تم",C313="خسارة"),"مغلقة",IF(NOT(ISNUMBER(E313)),"بلا موعد",IF(E313&lt;'الإعدادات'!$B$4,"متأخرة",IF(E313='الإعدادات'!$B$4,"اليوم","قادمة")))))</f>
        <v/>
      </c>
      <c r="K313" s="19">
        <f>IF(OR(J313="متأخرة",J313="اليوم"),'الإعدادات'!$B$4-E313,"")</f>
        <v/>
      </c>
      <c r="L313" s="19">
        <f>IF(OR(A313&amp;""="",NOT(ISNUMBER(F313))),"",'الإعدادات'!$B$4-F313)</f>
        <v/>
      </c>
      <c r="M313" s="19">
        <f>IF(OR(J313="متأخرة",J313="اليوم"),COUNTIFS($J$6:$J$505,"متأخرة",$E$6:$E$505,"&lt;"&amp;E313)+COUNTIFS($J$6:$J$505,"اليوم",$E$6:$E$505,"&lt;"&amp;E313)+COUNTIFS($E$6:E313,E313&amp;"",$J$6:J313,J313),"")</f>
        <v/>
      </c>
    </row>
    <row r="314">
      <c r="A314" s="5" t="n"/>
      <c r="B314" s="5" t="n"/>
      <c r="C314" s="5" t="n"/>
      <c r="D314" s="16" t="n"/>
      <c r="E314" s="13" t="n"/>
      <c r="F314" s="13" t="n"/>
      <c r="G314" s="5" t="n"/>
      <c r="H314" s="17">
        <f>IF(C314&amp;""="","",IFERROR(VLOOKUP(C314,'الإعدادات'!$A$8:$B$13,2,FALSE),""))</f>
        <v/>
      </c>
      <c r="I314" s="18">
        <f>IF(OR(H314="",NOT(ISNUMBER(D314))),"",ROUND(D314*H314,2))</f>
        <v/>
      </c>
      <c r="J314" s="6">
        <f>IF(A314&amp;""="","",IF(OR(C314="تم",C314="خسارة"),"مغلقة",IF(NOT(ISNUMBER(E314)),"بلا موعد",IF(E314&lt;'الإعدادات'!$B$4,"متأخرة",IF(E314='الإعدادات'!$B$4,"اليوم","قادمة")))))</f>
        <v/>
      </c>
      <c r="K314" s="19">
        <f>IF(OR(J314="متأخرة",J314="اليوم"),'الإعدادات'!$B$4-E314,"")</f>
        <v/>
      </c>
      <c r="L314" s="19">
        <f>IF(OR(A314&amp;""="",NOT(ISNUMBER(F314))),"",'الإعدادات'!$B$4-F314)</f>
        <v/>
      </c>
      <c r="M314" s="19">
        <f>IF(OR(J314="متأخرة",J314="اليوم"),COUNTIFS($J$6:$J$505,"متأخرة",$E$6:$E$505,"&lt;"&amp;E314)+COUNTIFS($J$6:$J$505,"اليوم",$E$6:$E$505,"&lt;"&amp;E314)+COUNTIFS($E$6:E314,E314&amp;"",$J$6:J314,J314),"")</f>
        <v/>
      </c>
    </row>
    <row r="315">
      <c r="A315" s="5" t="n"/>
      <c r="B315" s="5" t="n"/>
      <c r="C315" s="5" t="n"/>
      <c r="D315" s="16" t="n"/>
      <c r="E315" s="13" t="n"/>
      <c r="F315" s="13" t="n"/>
      <c r="G315" s="5" t="n"/>
      <c r="H315" s="17">
        <f>IF(C315&amp;""="","",IFERROR(VLOOKUP(C315,'الإعدادات'!$A$8:$B$13,2,FALSE),""))</f>
        <v/>
      </c>
      <c r="I315" s="18">
        <f>IF(OR(H315="",NOT(ISNUMBER(D315))),"",ROUND(D315*H315,2))</f>
        <v/>
      </c>
      <c r="J315" s="6">
        <f>IF(A315&amp;""="","",IF(OR(C315="تم",C315="خسارة"),"مغلقة",IF(NOT(ISNUMBER(E315)),"بلا موعد",IF(E315&lt;'الإعدادات'!$B$4,"متأخرة",IF(E315='الإعدادات'!$B$4,"اليوم","قادمة")))))</f>
        <v/>
      </c>
      <c r="K315" s="19">
        <f>IF(OR(J315="متأخرة",J315="اليوم"),'الإعدادات'!$B$4-E315,"")</f>
        <v/>
      </c>
      <c r="L315" s="19">
        <f>IF(OR(A315&amp;""="",NOT(ISNUMBER(F315))),"",'الإعدادات'!$B$4-F315)</f>
        <v/>
      </c>
      <c r="M315" s="19">
        <f>IF(OR(J315="متأخرة",J315="اليوم"),COUNTIFS($J$6:$J$505,"متأخرة",$E$6:$E$505,"&lt;"&amp;E315)+COUNTIFS($J$6:$J$505,"اليوم",$E$6:$E$505,"&lt;"&amp;E315)+COUNTIFS($E$6:E315,E315&amp;"",$J$6:J315,J315),"")</f>
        <v/>
      </c>
    </row>
    <row r="316">
      <c r="A316" s="5" t="n"/>
      <c r="B316" s="5" t="n"/>
      <c r="C316" s="5" t="n"/>
      <c r="D316" s="16" t="n"/>
      <c r="E316" s="13" t="n"/>
      <c r="F316" s="13" t="n"/>
      <c r="G316" s="5" t="n"/>
      <c r="H316" s="17">
        <f>IF(C316&amp;""="","",IFERROR(VLOOKUP(C316,'الإعدادات'!$A$8:$B$13,2,FALSE),""))</f>
        <v/>
      </c>
      <c r="I316" s="18">
        <f>IF(OR(H316="",NOT(ISNUMBER(D316))),"",ROUND(D316*H316,2))</f>
        <v/>
      </c>
      <c r="J316" s="6">
        <f>IF(A316&amp;""="","",IF(OR(C316="تم",C316="خسارة"),"مغلقة",IF(NOT(ISNUMBER(E316)),"بلا موعد",IF(E316&lt;'الإعدادات'!$B$4,"متأخرة",IF(E316='الإعدادات'!$B$4,"اليوم","قادمة")))))</f>
        <v/>
      </c>
      <c r="K316" s="19">
        <f>IF(OR(J316="متأخرة",J316="اليوم"),'الإعدادات'!$B$4-E316,"")</f>
        <v/>
      </c>
      <c r="L316" s="19">
        <f>IF(OR(A316&amp;""="",NOT(ISNUMBER(F316))),"",'الإعدادات'!$B$4-F316)</f>
        <v/>
      </c>
      <c r="M316" s="19">
        <f>IF(OR(J316="متأخرة",J316="اليوم"),COUNTIFS($J$6:$J$505,"متأخرة",$E$6:$E$505,"&lt;"&amp;E316)+COUNTIFS($J$6:$J$505,"اليوم",$E$6:$E$505,"&lt;"&amp;E316)+COUNTIFS($E$6:E316,E316&amp;"",$J$6:J316,J316),"")</f>
        <v/>
      </c>
    </row>
    <row r="317">
      <c r="A317" s="5" t="n"/>
      <c r="B317" s="5" t="n"/>
      <c r="C317" s="5" t="n"/>
      <c r="D317" s="16" t="n"/>
      <c r="E317" s="13" t="n"/>
      <c r="F317" s="13" t="n"/>
      <c r="G317" s="5" t="n"/>
      <c r="H317" s="17">
        <f>IF(C317&amp;""="","",IFERROR(VLOOKUP(C317,'الإعدادات'!$A$8:$B$13,2,FALSE),""))</f>
        <v/>
      </c>
      <c r="I317" s="18">
        <f>IF(OR(H317="",NOT(ISNUMBER(D317))),"",ROUND(D317*H317,2))</f>
        <v/>
      </c>
      <c r="J317" s="6">
        <f>IF(A317&amp;""="","",IF(OR(C317="تم",C317="خسارة"),"مغلقة",IF(NOT(ISNUMBER(E317)),"بلا موعد",IF(E317&lt;'الإعدادات'!$B$4,"متأخرة",IF(E317='الإعدادات'!$B$4,"اليوم","قادمة")))))</f>
        <v/>
      </c>
      <c r="K317" s="19">
        <f>IF(OR(J317="متأخرة",J317="اليوم"),'الإعدادات'!$B$4-E317,"")</f>
        <v/>
      </c>
      <c r="L317" s="19">
        <f>IF(OR(A317&amp;""="",NOT(ISNUMBER(F317))),"",'الإعدادات'!$B$4-F317)</f>
        <v/>
      </c>
      <c r="M317" s="19">
        <f>IF(OR(J317="متأخرة",J317="اليوم"),COUNTIFS($J$6:$J$505,"متأخرة",$E$6:$E$505,"&lt;"&amp;E317)+COUNTIFS($J$6:$J$505,"اليوم",$E$6:$E$505,"&lt;"&amp;E317)+COUNTIFS($E$6:E317,E317&amp;"",$J$6:J317,J317),"")</f>
        <v/>
      </c>
    </row>
    <row r="318">
      <c r="A318" s="5" t="n"/>
      <c r="B318" s="5" t="n"/>
      <c r="C318" s="5" t="n"/>
      <c r="D318" s="16" t="n"/>
      <c r="E318" s="13" t="n"/>
      <c r="F318" s="13" t="n"/>
      <c r="G318" s="5" t="n"/>
      <c r="H318" s="17">
        <f>IF(C318&amp;""="","",IFERROR(VLOOKUP(C318,'الإعدادات'!$A$8:$B$13,2,FALSE),""))</f>
        <v/>
      </c>
      <c r="I318" s="18">
        <f>IF(OR(H318="",NOT(ISNUMBER(D318))),"",ROUND(D318*H318,2))</f>
        <v/>
      </c>
      <c r="J318" s="6">
        <f>IF(A318&amp;""="","",IF(OR(C318="تم",C318="خسارة"),"مغلقة",IF(NOT(ISNUMBER(E318)),"بلا موعد",IF(E318&lt;'الإعدادات'!$B$4,"متأخرة",IF(E318='الإعدادات'!$B$4,"اليوم","قادمة")))))</f>
        <v/>
      </c>
      <c r="K318" s="19">
        <f>IF(OR(J318="متأخرة",J318="اليوم"),'الإعدادات'!$B$4-E318,"")</f>
        <v/>
      </c>
      <c r="L318" s="19">
        <f>IF(OR(A318&amp;""="",NOT(ISNUMBER(F318))),"",'الإعدادات'!$B$4-F318)</f>
        <v/>
      </c>
      <c r="M318" s="19">
        <f>IF(OR(J318="متأخرة",J318="اليوم"),COUNTIFS($J$6:$J$505,"متأخرة",$E$6:$E$505,"&lt;"&amp;E318)+COUNTIFS($J$6:$J$505,"اليوم",$E$6:$E$505,"&lt;"&amp;E318)+COUNTIFS($E$6:E318,E318&amp;"",$J$6:J318,J318),"")</f>
        <v/>
      </c>
    </row>
    <row r="319">
      <c r="A319" s="5" t="n"/>
      <c r="B319" s="5" t="n"/>
      <c r="C319" s="5" t="n"/>
      <c r="D319" s="16" t="n"/>
      <c r="E319" s="13" t="n"/>
      <c r="F319" s="13" t="n"/>
      <c r="G319" s="5" t="n"/>
      <c r="H319" s="17">
        <f>IF(C319&amp;""="","",IFERROR(VLOOKUP(C319,'الإعدادات'!$A$8:$B$13,2,FALSE),""))</f>
        <v/>
      </c>
      <c r="I319" s="18">
        <f>IF(OR(H319="",NOT(ISNUMBER(D319))),"",ROUND(D319*H319,2))</f>
        <v/>
      </c>
      <c r="J319" s="6">
        <f>IF(A319&amp;""="","",IF(OR(C319="تم",C319="خسارة"),"مغلقة",IF(NOT(ISNUMBER(E319)),"بلا موعد",IF(E319&lt;'الإعدادات'!$B$4,"متأخرة",IF(E319='الإعدادات'!$B$4,"اليوم","قادمة")))))</f>
        <v/>
      </c>
      <c r="K319" s="19">
        <f>IF(OR(J319="متأخرة",J319="اليوم"),'الإعدادات'!$B$4-E319,"")</f>
        <v/>
      </c>
      <c r="L319" s="19">
        <f>IF(OR(A319&amp;""="",NOT(ISNUMBER(F319))),"",'الإعدادات'!$B$4-F319)</f>
        <v/>
      </c>
      <c r="M319" s="19">
        <f>IF(OR(J319="متأخرة",J319="اليوم"),COUNTIFS($J$6:$J$505,"متأخرة",$E$6:$E$505,"&lt;"&amp;E319)+COUNTIFS($J$6:$J$505,"اليوم",$E$6:$E$505,"&lt;"&amp;E319)+COUNTIFS($E$6:E319,E319&amp;"",$J$6:J319,J319),"")</f>
        <v/>
      </c>
    </row>
    <row r="320">
      <c r="A320" s="5" t="n"/>
      <c r="B320" s="5" t="n"/>
      <c r="C320" s="5" t="n"/>
      <c r="D320" s="16" t="n"/>
      <c r="E320" s="13" t="n"/>
      <c r="F320" s="13" t="n"/>
      <c r="G320" s="5" t="n"/>
      <c r="H320" s="17">
        <f>IF(C320&amp;""="","",IFERROR(VLOOKUP(C320,'الإعدادات'!$A$8:$B$13,2,FALSE),""))</f>
        <v/>
      </c>
      <c r="I320" s="18">
        <f>IF(OR(H320="",NOT(ISNUMBER(D320))),"",ROUND(D320*H320,2))</f>
        <v/>
      </c>
      <c r="J320" s="6">
        <f>IF(A320&amp;""="","",IF(OR(C320="تم",C320="خسارة"),"مغلقة",IF(NOT(ISNUMBER(E320)),"بلا موعد",IF(E320&lt;'الإعدادات'!$B$4,"متأخرة",IF(E320='الإعدادات'!$B$4,"اليوم","قادمة")))))</f>
        <v/>
      </c>
      <c r="K320" s="19">
        <f>IF(OR(J320="متأخرة",J320="اليوم"),'الإعدادات'!$B$4-E320,"")</f>
        <v/>
      </c>
      <c r="L320" s="19">
        <f>IF(OR(A320&amp;""="",NOT(ISNUMBER(F320))),"",'الإعدادات'!$B$4-F320)</f>
        <v/>
      </c>
      <c r="M320" s="19">
        <f>IF(OR(J320="متأخرة",J320="اليوم"),COUNTIFS($J$6:$J$505,"متأخرة",$E$6:$E$505,"&lt;"&amp;E320)+COUNTIFS($J$6:$J$505,"اليوم",$E$6:$E$505,"&lt;"&amp;E320)+COUNTIFS($E$6:E320,E320&amp;"",$J$6:J320,J320),"")</f>
        <v/>
      </c>
    </row>
    <row r="321">
      <c r="A321" s="5" t="n"/>
      <c r="B321" s="5" t="n"/>
      <c r="C321" s="5" t="n"/>
      <c r="D321" s="16" t="n"/>
      <c r="E321" s="13" t="n"/>
      <c r="F321" s="13" t="n"/>
      <c r="G321" s="5" t="n"/>
      <c r="H321" s="17">
        <f>IF(C321&amp;""="","",IFERROR(VLOOKUP(C321,'الإعدادات'!$A$8:$B$13,2,FALSE),""))</f>
        <v/>
      </c>
      <c r="I321" s="18">
        <f>IF(OR(H321="",NOT(ISNUMBER(D321))),"",ROUND(D321*H321,2))</f>
        <v/>
      </c>
      <c r="J321" s="6">
        <f>IF(A321&amp;""="","",IF(OR(C321="تم",C321="خسارة"),"مغلقة",IF(NOT(ISNUMBER(E321)),"بلا موعد",IF(E321&lt;'الإعدادات'!$B$4,"متأخرة",IF(E321='الإعدادات'!$B$4,"اليوم","قادمة")))))</f>
        <v/>
      </c>
      <c r="K321" s="19">
        <f>IF(OR(J321="متأخرة",J321="اليوم"),'الإعدادات'!$B$4-E321,"")</f>
        <v/>
      </c>
      <c r="L321" s="19">
        <f>IF(OR(A321&amp;""="",NOT(ISNUMBER(F321))),"",'الإعدادات'!$B$4-F321)</f>
        <v/>
      </c>
      <c r="M321" s="19">
        <f>IF(OR(J321="متأخرة",J321="اليوم"),COUNTIFS($J$6:$J$505,"متأخرة",$E$6:$E$505,"&lt;"&amp;E321)+COUNTIFS($J$6:$J$505,"اليوم",$E$6:$E$505,"&lt;"&amp;E321)+COUNTIFS($E$6:E321,E321&amp;"",$J$6:J321,J321),"")</f>
        <v/>
      </c>
    </row>
    <row r="322">
      <c r="A322" s="5" t="n"/>
      <c r="B322" s="5" t="n"/>
      <c r="C322" s="5" t="n"/>
      <c r="D322" s="16" t="n"/>
      <c r="E322" s="13" t="n"/>
      <c r="F322" s="13" t="n"/>
      <c r="G322" s="5" t="n"/>
      <c r="H322" s="17">
        <f>IF(C322&amp;""="","",IFERROR(VLOOKUP(C322,'الإعدادات'!$A$8:$B$13,2,FALSE),""))</f>
        <v/>
      </c>
      <c r="I322" s="18">
        <f>IF(OR(H322="",NOT(ISNUMBER(D322))),"",ROUND(D322*H322,2))</f>
        <v/>
      </c>
      <c r="J322" s="6">
        <f>IF(A322&amp;""="","",IF(OR(C322="تم",C322="خسارة"),"مغلقة",IF(NOT(ISNUMBER(E322)),"بلا موعد",IF(E322&lt;'الإعدادات'!$B$4,"متأخرة",IF(E322='الإعدادات'!$B$4,"اليوم","قادمة")))))</f>
        <v/>
      </c>
      <c r="K322" s="19">
        <f>IF(OR(J322="متأخرة",J322="اليوم"),'الإعدادات'!$B$4-E322,"")</f>
        <v/>
      </c>
      <c r="L322" s="19">
        <f>IF(OR(A322&amp;""="",NOT(ISNUMBER(F322))),"",'الإعدادات'!$B$4-F322)</f>
        <v/>
      </c>
      <c r="M322" s="19">
        <f>IF(OR(J322="متأخرة",J322="اليوم"),COUNTIFS($J$6:$J$505,"متأخرة",$E$6:$E$505,"&lt;"&amp;E322)+COUNTIFS($J$6:$J$505,"اليوم",$E$6:$E$505,"&lt;"&amp;E322)+COUNTIFS($E$6:E322,E322&amp;"",$J$6:J322,J322),"")</f>
        <v/>
      </c>
    </row>
    <row r="323">
      <c r="A323" s="5" t="n"/>
      <c r="B323" s="5" t="n"/>
      <c r="C323" s="5" t="n"/>
      <c r="D323" s="16" t="n"/>
      <c r="E323" s="13" t="n"/>
      <c r="F323" s="13" t="n"/>
      <c r="G323" s="5" t="n"/>
      <c r="H323" s="17">
        <f>IF(C323&amp;""="","",IFERROR(VLOOKUP(C323,'الإعدادات'!$A$8:$B$13,2,FALSE),""))</f>
        <v/>
      </c>
      <c r="I323" s="18">
        <f>IF(OR(H323="",NOT(ISNUMBER(D323))),"",ROUND(D323*H323,2))</f>
        <v/>
      </c>
      <c r="J323" s="6">
        <f>IF(A323&amp;""="","",IF(OR(C323="تم",C323="خسارة"),"مغلقة",IF(NOT(ISNUMBER(E323)),"بلا موعد",IF(E323&lt;'الإعدادات'!$B$4,"متأخرة",IF(E323='الإعدادات'!$B$4,"اليوم","قادمة")))))</f>
        <v/>
      </c>
      <c r="K323" s="19">
        <f>IF(OR(J323="متأخرة",J323="اليوم"),'الإعدادات'!$B$4-E323,"")</f>
        <v/>
      </c>
      <c r="L323" s="19">
        <f>IF(OR(A323&amp;""="",NOT(ISNUMBER(F323))),"",'الإعدادات'!$B$4-F323)</f>
        <v/>
      </c>
      <c r="M323" s="19">
        <f>IF(OR(J323="متأخرة",J323="اليوم"),COUNTIFS($J$6:$J$505,"متأخرة",$E$6:$E$505,"&lt;"&amp;E323)+COUNTIFS($J$6:$J$505,"اليوم",$E$6:$E$505,"&lt;"&amp;E323)+COUNTIFS($E$6:E323,E323&amp;"",$J$6:J323,J323),"")</f>
        <v/>
      </c>
    </row>
    <row r="324">
      <c r="A324" s="5" t="n"/>
      <c r="B324" s="5" t="n"/>
      <c r="C324" s="5" t="n"/>
      <c r="D324" s="16" t="n"/>
      <c r="E324" s="13" t="n"/>
      <c r="F324" s="13" t="n"/>
      <c r="G324" s="5" t="n"/>
      <c r="H324" s="17">
        <f>IF(C324&amp;""="","",IFERROR(VLOOKUP(C324,'الإعدادات'!$A$8:$B$13,2,FALSE),""))</f>
        <v/>
      </c>
      <c r="I324" s="18">
        <f>IF(OR(H324="",NOT(ISNUMBER(D324))),"",ROUND(D324*H324,2))</f>
        <v/>
      </c>
      <c r="J324" s="6">
        <f>IF(A324&amp;""="","",IF(OR(C324="تم",C324="خسارة"),"مغلقة",IF(NOT(ISNUMBER(E324)),"بلا موعد",IF(E324&lt;'الإعدادات'!$B$4,"متأخرة",IF(E324='الإعدادات'!$B$4,"اليوم","قادمة")))))</f>
        <v/>
      </c>
      <c r="K324" s="19">
        <f>IF(OR(J324="متأخرة",J324="اليوم"),'الإعدادات'!$B$4-E324,"")</f>
        <v/>
      </c>
      <c r="L324" s="19">
        <f>IF(OR(A324&amp;""="",NOT(ISNUMBER(F324))),"",'الإعدادات'!$B$4-F324)</f>
        <v/>
      </c>
      <c r="M324" s="19">
        <f>IF(OR(J324="متأخرة",J324="اليوم"),COUNTIFS($J$6:$J$505,"متأخرة",$E$6:$E$505,"&lt;"&amp;E324)+COUNTIFS($J$6:$J$505,"اليوم",$E$6:$E$505,"&lt;"&amp;E324)+COUNTIFS($E$6:E324,E324&amp;"",$J$6:J324,J324),"")</f>
        <v/>
      </c>
    </row>
    <row r="325">
      <c r="A325" s="5" t="n"/>
      <c r="B325" s="5" t="n"/>
      <c r="C325" s="5" t="n"/>
      <c r="D325" s="16" t="n"/>
      <c r="E325" s="13" t="n"/>
      <c r="F325" s="13" t="n"/>
      <c r="G325" s="5" t="n"/>
      <c r="H325" s="17">
        <f>IF(C325&amp;""="","",IFERROR(VLOOKUP(C325,'الإعدادات'!$A$8:$B$13,2,FALSE),""))</f>
        <v/>
      </c>
      <c r="I325" s="18">
        <f>IF(OR(H325="",NOT(ISNUMBER(D325))),"",ROUND(D325*H325,2))</f>
        <v/>
      </c>
      <c r="J325" s="6">
        <f>IF(A325&amp;""="","",IF(OR(C325="تم",C325="خسارة"),"مغلقة",IF(NOT(ISNUMBER(E325)),"بلا موعد",IF(E325&lt;'الإعدادات'!$B$4,"متأخرة",IF(E325='الإعدادات'!$B$4,"اليوم","قادمة")))))</f>
        <v/>
      </c>
      <c r="K325" s="19">
        <f>IF(OR(J325="متأخرة",J325="اليوم"),'الإعدادات'!$B$4-E325,"")</f>
        <v/>
      </c>
      <c r="L325" s="19">
        <f>IF(OR(A325&amp;""="",NOT(ISNUMBER(F325))),"",'الإعدادات'!$B$4-F325)</f>
        <v/>
      </c>
      <c r="M325" s="19">
        <f>IF(OR(J325="متأخرة",J325="اليوم"),COUNTIFS($J$6:$J$505,"متأخرة",$E$6:$E$505,"&lt;"&amp;E325)+COUNTIFS($J$6:$J$505,"اليوم",$E$6:$E$505,"&lt;"&amp;E325)+COUNTIFS($E$6:E325,E325&amp;"",$J$6:J325,J325),"")</f>
        <v/>
      </c>
    </row>
    <row r="326">
      <c r="A326" s="5" t="n"/>
      <c r="B326" s="5" t="n"/>
      <c r="C326" s="5" t="n"/>
      <c r="D326" s="16" t="n"/>
      <c r="E326" s="13" t="n"/>
      <c r="F326" s="13" t="n"/>
      <c r="G326" s="5" t="n"/>
      <c r="H326" s="17">
        <f>IF(C326&amp;""="","",IFERROR(VLOOKUP(C326,'الإعدادات'!$A$8:$B$13,2,FALSE),""))</f>
        <v/>
      </c>
      <c r="I326" s="18">
        <f>IF(OR(H326="",NOT(ISNUMBER(D326))),"",ROUND(D326*H326,2))</f>
        <v/>
      </c>
      <c r="J326" s="6">
        <f>IF(A326&amp;""="","",IF(OR(C326="تم",C326="خسارة"),"مغلقة",IF(NOT(ISNUMBER(E326)),"بلا موعد",IF(E326&lt;'الإعدادات'!$B$4,"متأخرة",IF(E326='الإعدادات'!$B$4,"اليوم","قادمة")))))</f>
        <v/>
      </c>
      <c r="K326" s="19">
        <f>IF(OR(J326="متأخرة",J326="اليوم"),'الإعدادات'!$B$4-E326,"")</f>
        <v/>
      </c>
      <c r="L326" s="19">
        <f>IF(OR(A326&amp;""="",NOT(ISNUMBER(F326))),"",'الإعدادات'!$B$4-F326)</f>
        <v/>
      </c>
      <c r="M326" s="19">
        <f>IF(OR(J326="متأخرة",J326="اليوم"),COUNTIFS($J$6:$J$505,"متأخرة",$E$6:$E$505,"&lt;"&amp;E326)+COUNTIFS($J$6:$J$505,"اليوم",$E$6:$E$505,"&lt;"&amp;E326)+COUNTIFS($E$6:E326,E326&amp;"",$J$6:J326,J326),"")</f>
        <v/>
      </c>
    </row>
    <row r="327">
      <c r="A327" s="5" t="n"/>
      <c r="B327" s="5" t="n"/>
      <c r="C327" s="5" t="n"/>
      <c r="D327" s="16" t="n"/>
      <c r="E327" s="13" t="n"/>
      <c r="F327" s="13" t="n"/>
      <c r="G327" s="5" t="n"/>
      <c r="H327" s="17">
        <f>IF(C327&amp;""="","",IFERROR(VLOOKUP(C327,'الإعدادات'!$A$8:$B$13,2,FALSE),""))</f>
        <v/>
      </c>
      <c r="I327" s="18">
        <f>IF(OR(H327="",NOT(ISNUMBER(D327))),"",ROUND(D327*H327,2))</f>
        <v/>
      </c>
      <c r="J327" s="6">
        <f>IF(A327&amp;""="","",IF(OR(C327="تم",C327="خسارة"),"مغلقة",IF(NOT(ISNUMBER(E327)),"بلا موعد",IF(E327&lt;'الإعدادات'!$B$4,"متأخرة",IF(E327='الإعدادات'!$B$4,"اليوم","قادمة")))))</f>
        <v/>
      </c>
      <c r="K327" s="19">
        <f>IF(OR(J327="متأخرة",J327="اليوم"),'الإعدادات'!$B$4-E327,"")</f>
        <v/>
      </c>
      <c r="L327" s="19">
        <f>IF(OR(A327&amp;""="",NOT(ISNUMBER(F327))),"",'الإعدادات'!$B$4-F327)</f>
        <v/>
      </c>
      <c r="M327" s="19">
        <f>IF(OR(J327="متأخرة",J327="اليوم"),COUNTIFS($J$6:$J$505,"متأخرة",$E$6:$E$505,"&lt;"&amp;E327)+COUNTIFS($J$6:$J$505,"اليوم",$E$6:$E$505,"&lt;"&amp;E327)+COUNTIFS($E$6:E327,E327&amp;"",$J$6:J327,J327),"")</f>
        <v/>
      </c>
    </row>
    <row r="328">
      <c r="A328" s="5" t="n"/>
      <c r="B328" s="5" t="n"/>
      <c r="C328" s="5" t="n"/>
      <c r="D328" s="16" t="n"/>
      <c r="E328" s="13" t="n"/>
      <c r="F328" s="13" t="n"/>
      <c r="G328" s="5" t="n"/>
      <c r="H328" s="17">
        <f>IF(C328&amp;""="","",IFERROR(VLOOKUP(C328,'الإعدادات'!$A$8:$B$13,2,FALSE),""))</f>
        <v/>
      </c>
      <c r="I328" s="18">
        <f>IF(OR(H328="",NOT(ISNUMBER(D328))),"",ROUND(D328*H328,2))</f>
        <v/>
      </c>
      <c r="J328" s="6">
        <f>IF(A328&amp;""="","",IF(OR(C328="تم",C328="خسارة"),"مغلقة",IF(NOT(ISNUMBER(E328)),"بلا موعد",IF(E328&lt;'الإعدادات'!$B$4,"متأخرة",IF(E328='الإعدادات'!$B$4,"اليوم","قادمة")))))</f>
        <v/>
      </c>
      <c r="K328" s="19">
        <f>IF(OR(J328="متأخرة",J328="اليوم"),'الإعدادات'!$B$4-E328,"")</f>
        <v/>
      </c>
      <c r="L328" s="19">
        <f>IF(OR(A328&amp;""="",NOT(ISNUMBER(F328))),"",'الإعدادات'!$B$4-F328)</f>
        <v/>
      </c>
      <c r="M328" s="19">
        <f>IF(OR(J328="متأخرة",J328="اليوم"),COUNTIFS($J$6:$J$505,"متأخرة",$E$6:$E$505,"&lt;"&amp;E328)+COUNTIFS($J$6:$J$505,"اليوم",$E$6:$E$505,"&lt;"&amp;E328)+COUNTIFS($E$6:E328,E328&amp;"",$J$6:J328,J328),"")</f>
        <v/>
      </c>
    </row>
    <row r="329">
      <c r="A329" s="5" t="n"/>
      <c r="B329" s="5" t="n"/>
      <c r="C329" s="5" t="n"/>
      <c r="D329" s="16" t="n"/>
      <c r="E329" s="13" t="n"/>
      <c r="F329" s="13" t="n"/>
      <c r="G329" s="5" t="n"/>
      <c r="H329" s="17">
        <f>IF(C329&amp;""="","",IFERROR(VLOOKUP(C329,'الإعدادات'!$A$8:$B$13,2,FALSE),""))</f>
        <v/>
      </c>
      <c r="I329" s="18">
        <f>IF(OR(H329="",NOT(ISNUMBER(D329))),"",ROUND(D329*H329,2))</f>
        <v/>
      </c>
      <c r="J329" s="6">
        <f>IF(A329&amp;""="","",IF(OR(C329="تم",C329="خسارة"),"مغلقة",IF(NOT(ISNUMBER(E329)),"بلا موعد",IF(E329&lt;'الإعدادات'!$B$4,"متأخرة",IF(E329='الإعدادات'!$B$4,"اليوم","قادمة")))))</f>
        <v/>
      </c>
      <c r="K329" s="19">
        <f>IF(OR(J329="متأخرة",J329="اليوم"),'الإعدادات'!$B$4-E329,"")</f>
        <v/>
      </c>
      <c r="L329" s="19">
        <f>IF(OR(A329&amp;""="",NOT(ISNUMBER(F329))),"",'الإعدادات'!$B$4-F329)</f>
        <v/>
      </c>
      <c r="M329" s="19">
        <f>IF(OR(J329="متأخرة",J329="اليوم"),COUNTIFS($J$6:$J$505,"متأخرة",$E$6:$E$505,"&lt;"&amp;E329)+COUNTIFS($J$6:$J$505,"اليوم",$E$6:$E$505,"&lt;"&amp;E329)+COUNTIFS($E$6:E329,E329&amp;"",$J$6:J329,J329),"")</f>
        <v/>
      </c>
    </row>
    <row r="330">
      <c r="A330" s="5" t="n"/>
      <c r="B330" s="5" t="n"/>
      <c r="C330" s="5" t="n"/>
      <c r="D330" s="16" t="n"/>
      <c r="E330" s="13" t="n"/>
      <c r="F330" s="13" t="n"/>
      <c r="G330" s="5" t="n"/>
      <c r="H330" s="17">
        <f>IF(C330&amp;""="","",IFERROR(VLOOKUP(C330,'الإعدادات'!$A$8:$B$13,2,FALSE),""))</f>
        <v/>
      </c>
      <c r="I330" s="18">
        <f>IF(OR(H330="",NOT(ISNUMBER(D330))),"",ROUND(D330*H330,2))</f>
        <v/>
      </c>
      <c r="J330" s="6">
        <f>IF(A330&amp;""="","",IF(OR(C330="تم",C330="خسارة"),"مغلقة",IF(NOT(ISNUMBER(E330)),"بلا موعد",IF(E330&lt;'الإعدادات'!$B$4,"متأخرة",IF(E330='الإعدادات'!$B$4,"اليوم","قادمة")))))</f>
        <v/>
      </c>
      <c r="K330" s="19">
        <f>IF(OR(J330="متأخرة",J330="اليوم"),'الإعدادات'!$B$4-E330,"")</f>
        <v/>
      </c>
      <c r="L330" s="19">
        <f>IF(OR(A330&amp;""="",NOT(ISNUMBER(F330))),"",'الإعدادات'!$B$4-F330)</f>
        <v/>
      </c>
      <c r="M330" s="19">
        <f>IF(OR(J330="متأخرة",J330="اليوم"),COUNTIFS($J$6:$J$505,"متأخرة",$E$6:$E$505,"&lt;"&amp;E330)+COUNTIFS($J$6:$J$505,"اليوم",$E$6:$E$505,"&lt;"&amp;E330)+COUNTIFS($E$6:E330,E330&amp;"",$J$6:J330,J330),"")</f>
        <v/>
      </c>
    </row>
    <row r="331">
      <c r="A331" s="5" t="n"/>
      <c r="B331" s="5" t="n"/>
      <c r="C331" s="5" t="n"/>
      <c r="D331" s="16" t="n"/>
      <c r="E331" s="13" t="n"/>
      <c r="F331" s="13" t="n"/>
      <c r="G331" s="5" t="n"/>
      <c r="H331" s="17">
        <f>IF(C331&amp;""="","",IFERROR(VLOOKUP(C331,'الإعدادات'!$A$8:$B$13,2,FALSE),""))</f>
        <v/>
      </c>
      <c r="I331" s="18">
        <f>IF(OR(H331="",NOT(ISNUMBER(D331))),"",ROUND(D331*H331,2))</f>
        <v/>
      </c>
      <c r="J331" s="6">
        <f>IF(A331&amp;""="","",IF(OR(C331="تم",C331="خسارة"),"مغلقة",IF(NOT(ISNUMBER(E331)),"بلا موعد",IF(E331&lt;'الإعدادات'!$B$4,"متأخرة",IF(E331='الإعدادات'!$B$4,"اليوم","قادمة")))))</f>
        <v/>
      </c>
      <c r="K331" s="19">
        <f>IF(OR(J331="متأخرة",J331="اليوم"),'الإعدادات'!$B$4-E331,"")</f>
        <v/>
      </c>
      <c r="L331" s="19">
        <f>IF(OR(A331&amp;""="",NOT(ISNUMBER(F331))),"",'الإعدادات'!$B$4-F331)</f>
        <v/>
      </c>
      <c r="M331" s="19">
        <f>IF(OR(J331="متأخرة",J331="اليوم"),COUNTIFS($J$6:$J$505,"متأخرة",$E$6:$E$505,"&lt;"&amp;E331)+COUNTIFS($J$6:$J$505,"اليوم",$E$6:$E$505,"&lt;"&amp;E331)+COUNTIFS($E$6:E331,E331&amp;"",$J$6:J331,J331),"")</f>
        <v/>
      </c>
    </row>
    <row r="332">
      <c r="A332" s="5" t="n"/>
      <c r="B332" s="5" t="n"/>
      <c r="C332" s="5" t="n"/>
      <c r="D332" s="16" t="n"/>
      <c r="E332" s="13" t="n"/>
      <c r="F332" s="13" t="n"/>
      <c r="G332" s="5" t="n"/>
      <c r="H332" s="17">
        <f>IF(C332&amp;""="","",IFERROR(VLOOKUP(C332,'الإعدادات'!$A$8:$B$13,2,FALSE),""))</f>
        <v/>
      </c>
      <c r="I332" s="18">
        <f>IF(OR(H332="",NOT(ISNUMBER(D332))),"",ROUND(D332*H332,2))</f>
        <v/>
      </c>
      <c r="J332" s="6">
        <f>IF(A332&amp;""="","",IF(OR(C332="تم",C332="خسارة"),"مغلقة",IF(NOT(ISNUMBER(E332)),"بلا موعد",IF(E332&lt;'الإعدادات'!$B$4,"متأخرة",IF(E332='الإعدادات'!$B$4,"اليوم","قادمة")))))</f>
        <v/>
      </c>
      <c r="K332" s="19">
        <f>IF(OR(J332="متأخرة",J332="اليوم"),'الإعدادات'!$B$4-E332,"")</f>
        <v/>
      </c>
      <c r="L332" s="19">
        <f>IF(OR(A332&amp;""="",NOT(ISNUMBER(F332))),"",'الإعدادات'!$B$4-F332)</f>
        <v/>
      </c>
      <c r="M332" s="19">
        <f>IF(OR(J332="متأخرة",J332="اليوم"),COUNTIFS($J$6:$J$505,"متأخرة",$E$6:$E$505,"&lt;"&amp;E332)+COUNTIFS($J$6:$J$505,"اليوم",$E$6:$E$505,"&lt;"&amp;E332)+COUNTIFS($E$6:E332,E332&amp;"",$J$6:J332,J332),"")</f>
        <v/>
      </c>
    </row>
    <row r="333">
      <c r="A333" s="5" t="n"/>
      <c r="B333" s="5" t="n"/>
      <c r="C333" s="5" t="n"/>
      <c r="D333" s="16" t="n"/>
      <c r="E333" s="13" t="n"/>
      <c r="F333" s="13" t="n"/>
      <c r="G333" s="5" t="n"/>
      <c r="H333" s="17">
        <f>IF(C333&amp;""="","",IFERROR(VLOOKUP(C333,'الإعدادات'!$A$8:$B$13,2,FALSE),""))</f>
        <v/>
      </c>
      <c r="I333" s="18">
        <f>IF(OR(H333="",NOT(ISNUMBER(D333))),"",ROUND(D333*H333,2))</f>
        <v/>
      </c>
      <c r="J333" s="6">
        <f>IF(A333&amp;""="","",IF(OR(C333="تم",C333="خسارة"),"مغلقة",IF(NOT(ISNUMBER(E333)),"بلا موعد",IF(E333&lt;'الإعدادات'!$B$4,"متأخرة",IF(E333='الإعدادات'!$B$4,"اليوم","قادمة")))))</f>
        <v/>
      </c>
      <c r="K333" s="19">
        <f>IF(OR(J333="متأخرة",J333="اليوم"),'الإعدادات'!$B$4-E333,"")</f>
        <v/>
      </c>
      <c r="L333" s="19">
        <f>IF(OR(A333&amp;""="",NOT(ISNUMBER(F333))),"",'الإعدادات'!$B$4-F333)</f>
        <v/>
      </c>
      <c r="M333" s="19">
        <f>IF(OR(J333="متأخرة",J333="اليوم"),COUNTIFS($J$6:$J$505,"متأخرة",$E$6:$E$505,"&lt;"&amp;E333)+COUNTIFS($J$6:$J$505,"اليوم",$E$6:$E$505,"&lt;"&amp;E333)+COUNTIFS($E$6:E333,E333&amp;"",$J$6:J333,J333),"")</f>
        <v/>
      </c>
    </row>
    <row r="334">
      <c r="A334" s="5" t="n"/>
      <c r="B334" s="5" t="n"/>
      <c r="C334" s="5" t="n"/>
      <c r="D334" s="16" t="n"/>
      <c r="E334" s="13" t="n"/>
      <c r="F334" s="13" t="n"/>
      <c r="G334" s="5" t="n"/>
      <c r="H334" s="17">
        <f>IF(C334&amp;""="","",IFERROR(VLOOKUP(C334,'الإعدادات'!$A$8:$B$13,2,FALSE),""))</f>
        <v/>
      </c>
      <c r="I334" s="18">
        <f>IF(OR(H334="",NOT(ISNUMBER(D334))),"",ROUND(D334*H334,2))</f>
        <v/>
      </c>
      <c r="J334" s="6">
        <f>IF(A334&amp;""="","",IF(OR(C334="تم",C334="خسارة"),"مغلقة",IF(NOT(ISNUMBER(E334)),"بلا موعد",IF(E334&lt;'الإعدادات'!$B$4,"متأخرة",IF(E334='الإعدادات'!$B$4,"اليوم","قادمة")))))</f>
        <v/>
      </c>
      <c r="K334" s="19">
        <f>IF(OR(J334="متأخرة",J334="اليوم"),'الإعدادات'!$B$4-E334,"")</f>
        <v/>
      </c>
      <c r="L334" s="19">
        <f>IF(OR(A334&amp;""="",NOT(ISNUMBER(F334))),"",'الإعدادات'!$B$4-F334)</f>
        <v/>
      </c>
      <c r="M334" s="19">
        <f>IF(OR(J334="متأخرة",J334="اليوم"),COUNTIFS($J$6:$J$505,"متأخرة",$E$6:$E$505,"&lt;"&amp;E334)+COUNTIFS($J$6:$J$505,"اليوم",$E$6:$E$505,"&lt;"&amp;E334)+COUNTIFS($E$6:E334,E334&amp;"",$J$6:J334,J334),"")</f>
        <v/>
      </c>
    </row>
    <row r="335">
      <c r="A335" s="5" t="n"/>
      <c r="B335" s="5" t="n"/>
      <c r="C335" s="5" t="n"/>
      <c r="D335" s="16" t="n"/>
      <c r="E335" s="13" t="n"/>
      <c r="F335" s="13" t="n"/>
      <c r="G335" s="5" t="n"/>
      <c r="H335" s="17">
        <f>IF(C335&amp;""="","",IFERROR(VLOOKUP(C335,'الإعدادات'!$A$8:$B$13,2,FALSE),""))</f>
        <v/>
      </c>
      <c r="I335" s="18">
        <f>IF(OR(H335="",NOT(ISNUMBER(D335))),"",ROUND(D335*H335,2))</f>
        <v/>
      </c>
      <c r="J335" s="6">
        <f>IF(A335&amp;""="","",IF(OR(C335="تم",C335="خسارة"),"مغلقة",IF(NOT(ISNUMBER(E335)),"بلا موعد",IF(E335&lt;'الإعدادات'!$B$4,"متأخرة",IF(E335='الإعدادات'!$B$4,"اليوم","قادمة")))))</f>
        <v/>
      </c>
      <c r="K335" s="19">
        <f>IF(OR(J335="متأخرة",J335="اليوم"),'الإعدادات'!$B$4-E335,"")</f>
        <v/>
      </c>
      <c r="L335" s="19">
        <f>IF(OR(A335&amp;""="",NOT(ISNUMBER(F335))),"",'الإعدادات'!$B$4-F335)</f>
        <v/>
      </c>
      <c r="M335" s="19">
        <f>IF(OR(J335="متأخرة",J335="اليوم"),COUNTIFS($J$6:$J$505,"متأخرة",$E$6:$E$505,"&lt;"&amp;E335)+COUNTIFS($J$6:$J$505,"اليوم",$E$6:$E$505,"&lt;"&amp;E335)+COUNTIFS($E$6:E335,E335&amp;"",$J$6:J335,J335),"")</f>
        <v/>
      </c>
    </row>
    <row r="336">
      <c r="A336" s="5" t="n"/>
      <c r="B336" s="5" t="n"/>
      <c r="C336" s="5" t="n"/>
      <c r="D336" s="16" t="n"/>
      <c r="E336" s="13" t="n"/>
      <c r="F336" s="13" t="n"/>
      <c r="G336" s="5" t="n"/>
      <c r="H336" s="17">
        <f>IF(C336&amp;""="","",IFERROR(VLOOKUP(C336,'الإعدادات'!$A$8:$B$13,2,FALSE),""))</f>
        <v/>
      </c>
      <c r="I336" s="18">
        <f>IF(OR(H336="",NOT(ISNUMBER(D336))),"",ROUND(D336*H336,2))</f>
        <v/>
      </c>
      <c r="J336" s="6">
        <f>IF(A336&amp;""="","",IF(OR(C336="تم",C336="خسارة"),"مغلقة",IF(NOT(ISNUMBER(E336)),"بلا موعد",IF(E336&lt;'الإعدادات'!$B$4,"متأخرة",IF(E336='الإعدادات'!$B$4,"اليوم","قادمة")))))</f>
        <v/>
      </c>
      <c r="K336" s="19">
        <f>IF(OR(J336="متأخرة",J336="اليوم"),'الإعدادات'!$B$4-E336,"")</f>
        <v/>
      </c>
      <c r="L336" s="19">
        <f>IF(OR(A336&amp;""="",NOT(ISNUMBER(F336))),"",'الإعدادات'!$B$4-F336)</f>
        <v/>
      </c>
      <c r="M336" s="19">
        <f>IF(OR(J336="متأخرة",J336="اليوم"),COUNTIFS($J$6:$J$505,"متأخرة",$E$6:$E$505,"&lt;"&amp;E336)+COUNTIFS($J$6:$J$505,"اليوم",$E$6:$E$505,"&lt;"&amp;E336)+COUNTIFS($E$6:E336,E336&amp;"",$J$6:J336,J336),"")</f>
        <v/>
      </c>
    </row>
    <row r="337">
      <c r="A337" s="5" t="n"/>
      <c r="B337" s="5" t="n"/>
      <c r="C337" s="5" t="n"/>
      <c r="D337" s="16" t="n"/>
      <c r="E337" s="13" t="n"/>
      <c r="F337" s="13" t="n"/>
      <c r="G337" s="5" t="n"/>
      <c r="H337" s="17">
        <f>IF(C337&amp;""="","",IFERROR(VLOOKUP(C337,'الإعدادات'!$A$8:$B$13,2,FALSE),""))</f>
        <v/>
      </c>
      <c r="I337" s="18">
        <f>IF(OR(H337="",NOT(ISNUMBER(D337))),"",ROUND(D337*H337,2))</f>
        <v/>
      </c>
      <c r="J337" s="6">
        <f>IF(A337&amp;""="","",IF(OR(C337="تم",C337="خسارة"),"مغلقة",IF(NOT(ISNUMBER(E337)),"بلا موعد",IF(E337&lt;'الإعدادات'!$B$4,"متأخرة",IF(E337='الإعدادات'!$B$4,"اليوم","قادمة")))))</f>
        <v/>
      </c>
      <c r="K337" s="19">
        <f>IF(OR(J337="متأخرة",J337="اليوم"),'الإعدادات'!$B$4-E337,"")</f>
        <v/>
      </c>
      <c r="L337" s="19">
        <f>IF(OR(A337&amp;""="",NOT(ISNUMBER(F337))),"",'الإعدادات'!$B$4-F337)</f>
        <v/>
      </c>
      <c r="M337" s="19">
        <f>IF(OR(J337="متأخرة",J337="اليوم"),COUNTIFS($J$6:$J$505,"متأخرة",$E$6:$E$505,"&lt;"&amp;E337)+COUNTIFS($J$6:$J$505,"اليوم",$E$6:$E$505,"&lt;"&amp;E337)+COUNTIFS($E$6:E337,E337&amp;"",$J$6:J337,J337),"")</f>
        <v/>
      </c>
    </row>
    <row r="338">
      <c r="A338" s="5" t="n"/>
      <c r="B338" s="5" t="n"/>
      <c r="C338" s="5" t="n"/>
      <c r="D338" s="16" t="n"/>
      <c r="E338" s="13" t="n"/>
      <c r="F338" s="13" t="n"/>
      <c r="G338" s="5" t="n"/>
      <c r="H338" s="17">
        <f>IF(C338&amp;""="","",IFERROR(VLOOKUP(C338,'الإعدادات'!$A$8:$B$13,2,FALSE),""))</f>
        <v/>
      </c>
      <c r="I338" s="18">
        <f>IF(OR(H338="",NOT(ISNUMBER(D338))),"",ROUND(D338*H338,2))</f>
        <v/>
      </c>
      <c r="J338" s="6">
        <f>IF(A338&amp;""="","",IF(OR(C338="تم",C338="خسارة"),"مغلقة",IF(NOT(ISNUMBER(E338)),"بلا موعد",IF(E338&lt;'الإعدادات'!$B$4,"متأخرة",IF(E338='الإعدادات'!$B$4,"اليوم","قادمة")))))</f>
        <v/>
      </c>
      <c r="K338" s="19">
        <f>IF(OR(J338="متأخرة",J338="اليوم"),'الإعدادات'!$B$4-E338,"")</f>
        <v/>
      </c>
      <c r="L338" s="19">
        <f>IF(OR(A338&amp;""="",NOT(ISNUMBER(F338))),"",'الإعدادات'!$B$4-F338)</f>
        <v/>
      </c>
      <c r="M338" s="19">
        <f>IF(OR(J338="متأخرة",J338="اليوم"),COUNTIFS($J$6:$J$505,"متأخرة",$E$6:$E$505,"&lt;"&amp;E338)+COUNTIFS($J$6:$J$505,"اليوم",$E$6:$E$505,"&lt;"&amp;E338)+COUNTIFS($E$6:E338,E338&amp;"",$J$6:J338,J338),"")</f>
        <v/>
      </c>
    </row>
    <row r="339">
      <c r="A339" s="5" t="n"/>
      <c r="B339" s="5" t="n"/>
      <c r="C339" s="5" t="n"/>
      <c r="D339" s="16" t="n"/>
      <c r="E339" s="13" t="n"/>
      <c r="F339" s="13" t="n"/>
      <c r="G339" s="5" t="n"/>
      <c r="H339" s="17">
        <f>IF(C339&amp;""="","",IFERROR(VLOOKUP(C339,'الإعدادات'!$A$8:$B$13,2,FALSE),""))</f>
        <v/>
      </c>
      <c r="I339" s="18">
        <f>IF(OR(H339="",NOT(ISNUMBER(D339))),"",ROUND(D339*H339,2))</f>
        <v/>
      </c>
      <c r="J339" s="6">
        <f>IF(A339&amp;""="","",IF(OR(C339="تم",C339="خسارة"),"مغلقة",IF(NOT(ISNUMBER(E339)),"بلا موعد",IF(E339&lt;'الإعدادات'!$B$4,"متأخرة",IF(E339='الإعدادات'!$B$4,"اليوم","قادمة")))))</f>
        <v/>
      </c>
      <c r="K339" s="19">
        <f>IF(OR(J339="متأخرة",J339="اليوم"),'الإعدادات'!$B$4-E339,"")</f>
        <v/>
      </c>
      <c r="L339" s="19">
        <f>IF(OR(A339&amp;""="",NOT(ISNUMBER(F339))),"",'الإعدادات'!$B$4-F339)</f>
        <v/>
      </c>
      <c r="M339" s="19">
        <f>IF(OR(J339="متأخرة",J339="اليوم"),COUNTIFS($J$6:$J$505,"متأخرة",$E$6:$E$505,"&lt;"&amp;E339)+COUNTIFS($J$6:$J$505,"اليوم",$E$6:$E$505,"&lt;"&amp;E339)+COUNTIFS($E$6:E339,E339&amp;"",$J$6:J339,J339),"")</f>
        <v/>
      </c>
    </row>
    <row r="340">
      <c r="A340" s="5" t="n"/>
      <c r="B340" s="5" t="n"/>
      <c r="C340" s="5" t="n"/>
      <c r="D340" s="16" t="n"/>
      <c r="E340" s="13" t="n"/>
      <c r="F340" s="13" t="n"/>
      <c r="G340" s="5" t="n"/>
      <c r="H340" s="17">
        <f>IF(C340&amp;""="","",IFERROR(VLOOKUP(C340,'الإعدادات'!$A$8:$B$13,2,FALSE),""))</f>
        <v/>
      </c>
      <c r="I340" s="18">
        <f>IF(OR(H340="",NOT(ISNUMBER(D340))),"",ROUND(D340*H340,2))</f>
        <v/>
      </c>
      <c r="J340" s="6">
        <f>IF(A340&amp;""="","",IF(OR(C340="تم",C340="خسارة"),"مغلقة",IF(NOT(ISNUMBER(E340)),"بلا موعد",IF(E340&lt;'الإعدادات'!$B$4,"متأخرة",IF(E340='الإعدادات'!$B$4,"اليوم","قادمة")))))</f>
        <v/>
      </c>
      <c r="K340" s="19">
        <f>IF(OR(J340="متأخرة",J340="اليوم"),'الإعدادات'!$B$4-E340,"")</f>
        <v/>
      </c>
      <c r="L340" s="19">
        <f>IF(OR(A340&amp;""="",NOT(ISNUMBER(F340))),"",'الإعدادات'!$B$4-F340)</f>
        <v/>
      </c>
      <c r="M340" s="19">
        <f>IF(OR(J340="متأخرة",J340="اليوم"),COUNTIFS($J$6:$J$505,"متأخرة",$E$6:$E$505,"&lt;"&amp;E340)+COUNTIFS($J$6:$J$505,"اليوم",$E$6:$E$505,"&lt;"&amp;E340)+COUNTIFS($E$6:E340,E340&amp;"",$J$6:J340,J340),"")</f>
        <v/>
      </c>
    </row>
    <row r="341">
      <c r="A341" s="5" t="n"/>
      <c r="B341" s="5" t="n"/>
      <c r="C341" s="5" t="n"/>
      <c r="D341" s="16" t="n"/>
      <c r="E341" s="13" t="n"/>
      <c r="F341" s="13" t="n"/>
      <c r="G341" s="5" t="n"/>
      <c r="H341" s="17">
        <f>IF(C341&amp;""="","",IFERROR(VLOOKUP(C341,'الإعدادات'!$A$8:$B$13,2,FALSE),""))</f>
        <v/>
      </c>
      <c r="I341" s="18">
        <f>IF(OR(H341="",NOT(ISNUMBER(D341))),"",ROUND(D341*H341,2))</f>
        <v/>
      </c>
      <c r="J341" s="6">
        <f>IF(A341&amp;""="","",IF(OR(C341="تم",C341="خسارة"),"مغلقة",IF(NOT(ISNUMBER(E341)),"بلا موعد",IF(E341&lt;'الإعدادات'!$B$4,"متأخرة",IF(E341='الإعدادات'!$B$4,"اليوم","قادمة")))))</f>
        <v/>
      </c>
      <c r="K341" s="19">
        <f>IF(OR(J341="متأخرة",J341="اليوم"),'الإعدادات'!$B$4-E341,"")</f>
        <v/>
      </c>
      <c r="L341" s="19">
        <f>IF(OR(A341&amp;""="",NOT(ISNUMBER(F341))),"",'الإعدادات'!$B$4-F341)</f>
        <v/>
      </c>
      <c r="M341" s="19">
        <f>IF(OR(J341="متأخرة",J341="اليوم"),COUNTIFS($J$6:$J$505,"متأخرة",$E$6:$E$505,"&lt;"&amp;E341)+COUNTIFS($J$6:$J$505,"اليوم",$E$6:$E$505,"&lt;"&amp;E341)+COUNTIFS($E$6:E341,E341&amp;"",$J$6:J341,J341),"")</f>
        <v/>
      </c>
    </row>
    <row r="342">
      <c r="A342" s="5" t="n"/>
      <c r="B342" s="5" t="n"/>
      <c r="C342" s="5" t="n"/>
      <c r="D342" s="16" t="n"/>
      <c r="E342" s="13" t="n"/>
      <c r="F342" s="13" t="n"/>
      <c r="G342" s="5" t="n"/>
      <c r="H342" s="17">
        <f>IF(C342&amp;""="","",IFERROR(VLOOKUP(C342,'الإعدادات'!$A$8:$B$13,2,FALSE),""))</f>
        <v/>
      </c>
      <c r="I342" s="18">
        <f>IF(OR(H342="",NOT(ISNUMBER(D342))),"",ROUND(D342*H342,2))</f>
        <v/>
      </c>
      <c r="J342" s="6">
        <f>IF(A342&amp;""="","",IF(OR(C342="تم",C342="خسارة"),"مغلقة",IF(NOT(ISNUMBER(E342)),"بلا موعد",IF(E342&lt;'الإعدادات'!$B$4,"متأخرة",IF(E342='الإعدادات'!$B$4,"اليوم","قادمة")))))</f>
        <v/>
      </c>
      <c r="K342" s="19">
        <f>IF(OR(J342="متأخرة",J342="اليوم"),'الإعدادات'!$B$4-E342,"")</f>
        <v/>
      </c>
      <c r="L342" s="19">
        <f>IF(OR(A342&amp;""="",NOT(ISNUMBER(F342))),"",'الإعدادات'!$B$4-F342)</f>
        <v/>
      </c>
      <c r="M342" s="19">
        <f>IF(OR(J342="متأخرة",J342="اليوم"),COUNTIFS($J$6:$J$505,"متأخرة",$E$6:$E$505,"&lt;"&amp;E342)+COUNTIFS($J$6:$J$505,"اليوم",$E$6:$E$505,"&lt;"&amp;E342)+COUNTIFS($E$6:E342,E342&amp;"",$J$6:J342,J342),"")</f>
        <v/>
      </c>
    </row>
    <row r="343">
      <c r="A343" s="5" t="n"/>
      <c r="B343" s="5" t="n"/>
      <c r="C343" s="5" t="n"/>
      <c r="D343" s="16" t="n"/>
      <c r="E343" s="13" t="n"/>
      <c r="F343" s="13" t="n"/>
      <c r="G343" s="5" t="n"/>
      <c r="H343" s="17">
        <f>IF(C343&amp;""="","",IFERROR(VLOOKUP(C343,'الإعدادات'!$A$8:$B$13,2,FALSE),""))</f>
        <v/>
      </c>
      <c r="I343" s="18">
        <f>IF(OR(H343="",NOT(ISNUMBER(D343))),"",ROUND(D343*H343,2))</f>
        <v/>
      </c>
      <c r="J343" s="6">
        <f>IF(A343&amp;""="","",IF(OR(C343="تم",C343="خسارة"),"مغلقة",IF(NOT(ISNUMBER(E343)),"بلا موعد",IF(E343&lt;'الإعدادات'!$B$4,"متأخرة",IF(E343='الإعدادات'!$B$4,"اليوم","قادمة")))))</f>
        <v/>
      </c>
      <c r="K343" s="19">
        <f>IF(OR(J343="متأخرة",J343="اليوم"),'الإعدادات'!$B$4-E343,"")</f>
        <v/>
      </c>
      <c r="L343" s="19">
        <f>IF(OR(A343&amp;""="",NOT(ISNUMBER(F343))),"",'الإعدادات'!$B$4-F343)</f>
        <v/>
      </c>
      <c r="M343" s="19">
        <f>IF(OR(J343="متأخرة",J343="اليوم"),COUNTIFS($J$6:$J$505,"متأخرة",$E$6:$E$505,"&lt;"&amp;E343)+COUNTIFS($J$6:$J$505,"اليوم",$E$6:$E$505,"&lt;"&amp;E343)+COUNTIFS($E$6:E343,E343&amp;"",$J$6:J343,J343),"")</f>
        <v/>
      </c>
    </row>
    <row r="344">
      <c r="A344" s="5" t="n"/>
      <c r="B344" s="5" t="n"/>
      <c r="C344" s="5" t="n"/>
      <c r="D344" s="16" t="n"/>
      <c r="E344" s="13" t="n"/>
      <c r="F344" s="13" t="n"/>
      <c r="G344" s="5" t="n"/>
      <c r="H344" s="17">
        <f>IF(C344&amp;""="","",IFERROR(VLOOKUP(C344,'الإعدادات'!$A$8:$B$13,2,FALSE),""))</f>
        <v/>
      </c>
      <c r="I344" s="18">
        <f>IF(OR(H344="",NOT(ISNUMBER(D344))),"",ROUND(D344*H344,2))</f>
        <v/>
      </c>
      <c r="J344" s="6">
        <f>IF(A344&amp;""="","",IF(OR(C344="تم",C344="خسارة"),"مغلقة",IF(NOT(ISNUMBER(E344)),"بلا موعد",IF(E344&lt;'الإعدادات'!$B$4,"متأخرة",IF(E344='الإعدادات'!$B$4,"اليوم","قادمة")))))</f>
        <v/>
      </c>
      <c r="K344" s="19">
        <f>IF(OR(J344="متأخرة",J344="اليوم"),'الإعدادات'!$B$4-E344,"")</f>
        <v/>
      </c>
      <c r="L344" s="19">
        <f>IF(OR(A344&amp;""="",NOT(ISNUMBER(F344))),"",'الإعدادات'!$B$4-F344)</f>
        <v/>
      </c>
      <c r="M344" s="19">
        <f>IF(OR(J344="متأخرة",J344="اليوم"),COUNTIFS($J$6:$J$505,"متأخرة",$E$6:$E$505,"&lt;"&amp;E344)+COUNTIFS($J$6:$J$505,"اليوم",$E$6:$E$505,"&lt;"&amp;E344)+COUNTIFS($E$6:E344,E344&amp;"",$J$6:J344,J344),"")</f>
        <v/>
      </c>
    </row>
    <row r="345">
      <c r="A345" s="5" t="n"/>
      <c r="B345" s="5" t="n"/>
      <c r="C345" s="5" t="n"/>
      <c r="D345" s="16" t="n"/>
      <c r="E345" s="13" t="n"/>
      <c r="F345" s="13" t="n"/>
      <c r="G345" s="5" t="n"/>
      <c r="H345" s="17">
        <f>IF(C345&amp;""="","",IFERROR(VLOOKUP(C345,'الإعدادات'!$A$8:$B$13,2,FALSE),""))</f>
        <v/>
      </c>
      <c r="I345" s="18">
        <f>IF(OR(H345="",NOT(ISNUMBER(D345))),"",ROUND(D345*H345,2))</f>
        <v/>
      </c>
      <c r="J345" s="6">
        <f>IF(A345&amp;""="","",IF(OR(C345="تم",C345="خسارة"),"مغلقة",IF(NOT(ISNUMBER(E345)),"بلا موعد",IF(E345&lt;'الإعدادات'!$B$4,"متأخرة",IF(E345='الإعدادات'!$B$4,"اليوم","قادمة")))))</f>
        <v/>
      </c>
      <c r="K345" s="19">
        <f>IF(OR(J345="متأخرة",J345="اليوم"),'الإعدادات'!$B$4-E345,"")</f>
        <v/>
      </c>
      <c r="L345" s="19">
        <f>IF(OR(A345&amp;""="",NOT(ISNUMBER(F345))),"",'الإعدادات'!$B$4-F345)</f>
        <v/>
      </c>
      <c r="M345" s="19">
        <f>IF(OR(J345="متأخرة",J345="اليوم"),COUNTIFS($J$6:$J$505,"متأخرة",$E$6:$E$505,"&lt;"&amp;E345)+COUNTIFS($J$6:$J$505,"اليوم",$E$6:$E$505,"&lt;"&amp;E345)+COUNTIFS($E$6:E345,E345&amp;"",$J$6:J345,J345),"")</f>
        <v/>
      </c>
    </row>
    <row r="346">
      <c r="A346" s="5" t="n"/>
      <c r="B346" s="5" t="n"/>
      <c r="C346" s="5" t="n"/>
      <c r="D346" s="16" t="n"/>
      <c r="E346" s="13" t="n"/>
      <c r="F346" s="13" t="n"/>
      <c r="G346" s="5" t="n"/>
      <c r="H346" s="17">
        <f>IF(C346&amp;""="","",IFERROR(VLOOKUP(C346,'الإعدادات'!$A$8:$B$13,2,FALSE),""))</f>
        <v/>
      </c>
      <c r="I346" s="18">
        <f>IF(OR(H346="",NOT(ISNUMBER(D346))),"",ROUND(D346*H346,2))</f>
        <v/>
      </c>
      <c r="J346" s="6">
        <f>IF(A346&amp;""="","",IF(OR(C346="تم",C346="خسارة"),"مغلقة",IF(NOT(ISNUMBER(E346)),"بلا موعد",IF(E346&lt;'الإعدادات'!$B$4,"متأخرة",IF(E346='الإعدادات'!$B$4,"اليوم","قادمة")))))</f>
        <v/>
      </c>
      <c r="K346" s="19">
        <f>IF(OR(J346="متأخرة",J346="اليوم"),'الإعدادات'!$B$4-E346,"")</f>
        <v/>
      </c>
      <c r="L346" s="19">
        <f>IF(OR(A346&amp;""="",NOT(ISNUMBER(F346))),"",'الإعدادات'!$B$4-F346)</f>
        <v/>
      </c>
      <c r="M346" s="19">
        <f>IF(OR(J346="متأخرة",J346="اليوم"),COUNTIFS($J$6:$J$505,"متأخرة",$E$6:$E$505,"&lt;"&amp;E346)+COUNTIFS($J$6:$J$505,"اليوم",$E$6:$E$505,"&lt;"&amp;E346)+COUNTIFS($E$6:E346,E346&amp;"",$J$6:J346,J346),"")</f>
        <v/>
      </c>
    </row>
    <row r="347">
      <c r="A347" s="5" t="n"/>
      <c r="B347" s="5" t="n"/>
      <c r="C347" s="5" t="n"/>
      <c r="D347" s="16" t="n"/>
      <c r="E347" s="13" t="n"/>
      <c r="F347" s="13" t="n"/>
      <c r="G347" s="5" t="n"/>
      <c r="H347" s="17">
        <f>IF(C347&amp;""="","",IFERROR(VLOOKUP(C347,'الإعدادات'!$A$8:$B$13,2,FALSE),""))</f>
        <v/>
      </c>
      <c r="I347" s="18">
        <f>IF(OR(H347="",NOT(ISNUMBER(D347))),"",ROUND(D347*H347,2))</f>
        <v/>
      </c>
      <c r="J347" s="6">
        <f>IF(A347&amp;""="","",IF(OR(C347="تم",C347="خسارة"),"مغلقة",IF(NOT(ISNUMBER(E347)),"بلا موعد",IF(E347&lt;'الإعدادات'!$B$4,"متأخرة",IF(E347='الإعدادات'!$B$4,"اليوم","قادمة")))))</f>
        <v/>
      </c>
      <c r="K347" s="19">
        <f>IF(OR(J347="متأخرة",J347="اليوم"),'الإعدادات'!$B$4-E347,"")</f>
        <v/>
      </c>
      <c r="L347" s="19">
        <f>IF(OR(A347&amp;""="",NOT(ISNUMBER(F347))),"",'الإعدادات'!$B$4-F347)</f>
        <v/>
      </c>
      <c r="M347" s="19">
        <f>IF(OR(J347="متأخرة",J347="اليوم"),COUNTIFS($J$6:$J$505,"متأخرة",$E$6:$E$505,"&lt;"&amp;E347)+COUNTIFS($J$6:$J$505,"اليوم",$E$6:$E$505,"&lt;"&amp;E347)+COUNTIFS($E$6:E347,E347&amp;"",$J$6:J347,J347),"")</f>
        <v/>
      </c>
    </row>
    <row r="348">
      <c r="A348" s="5" t="n"/>
      <c r="B348" s="5" t="n"/>
      <c r="C348" s="5" t="n"/>
      <c r="D348" s="16" t="n"/>
      <c r="E348" s="13" t="n"/>
      <c r="F348" s="13" t="n"/>
      <c r="G348" s="5" t="n"/>
      <c r="H348" s="17">
        <f>IF(C348&amp;""="","",IFERROR(VLOOKUP(C348,'الإعدادات'!$A$8:$B$13,2,FALSE),""))</f>
        <v/>
      </c>
      <c r="I348" s="18">
        <f>IF(OR(H348="",NOT(ISNUMBER(D348))),"",ROUND(D348*H348,2))</f>
        <v/>
      </c>
      <c r="J348" s="6">
        <f>IF(A348&amp;""="","",IF(OR(C348="تم",C348="خسارة"),"مغلقة",IF(NOT(ISNUMBER(E348)),"بلا موعد",IF(E348&lt;'الإعدادات'!$B$4,"متأخرة",IF(E348='الإعدادات'!$B$4,"اليوم","قادمة")))))</f>
        <v/>
      </c>
      <c r="K348" s="19">
        <f>IF(OR(J348="متأخرة",J348="اليوم"),'الإعدادات'!$B$4-E348,"")</f>
        <v/>
      </c>
      <c r="L348" s="19">
        <f>IF(OR(A348&amp;""="",NOT(ISNUMBER(F348))),"",'الإعدادات'!$B$4-F348)</f>
        <v/>
      </c>
      <c r="M348" s="19">
        <f>IF(OR(J348="متأخرة",J348="اليوم"),COUNTIFS($J$6:$J$505,"متأخرة",$E$6:$E$505,"&lt;"&amp;E348)+COUNTIFS($J$6:$J$505,"اليوم",$E$6:$E$505,"&lt;"&amp;E348)+COUNTIFS($E$6:E348,E348&amp;"",$J$6:J348,J348),"")</f>
        <v/>
      </c>
    </row>
    <row r="349">
      <c r="A349" s="5" t="n"/>
      <c r="B349" s="5" t="n"/>
      <c r="C349" s="5" t="n"/>
      <c r="D349" s="16" t="n"/>
      <c r="E349" s="13" t="n"/>
      <c r="F349" s="13" t="n"/>
      <c r="G349" s="5" t="n"/>
      <c r="H349" s="17">
        <f>IF(C349&amp;""="","",IFERROR(VLOOKUP(C349,'الإعدادات'!$A$8:$B$13,2,FALSE),""))</f>
        <v/>
      </c>
      <c r="I349" s="18">
        <f>IF(OR(H349="",NOT(ISNUMBER(D349))),"",ROUND(D349*H349,2))</f>
        <v/>
      </c>
      <c r="J349" s="6">
        <f>IF(A349&amp;""="","",IF(OR(C349="تم",C349="خسارة"),"مغلقة",IF(NOT(ISNUMBER(E349)),"بلا موعد",IF(E349&lt;'الإعدادات'!$B$4,"متأخرة",IF(E349='الإعدادات'!$B$4,"اليوم","قادمة")))))</f>
        <v/>
      </c>
      <c r="K349" s="19">
        <f>IF(OR(J349="متأخرة",J349="اليوم"),'الإعدادات'!$B$4-E349,"")</f>
        <v/>
      </c>
      <c r="L349" s="19">
        <f>IF(OR(A349&amp;""="",NOT(ISNUMBER(F349))),"",'الإعدادات'!$B$4-F349)</f>
        <v/>
      </c>
      <c r="M349" s="19">
        <f>IF(OR(J349="متأخرة",J349="اليوم"),COUNTIFS($J$6:$J$505,"متأخرة",$E$6:$E$505,"&lt;"&amp;E349)+COUNTIFS($J$6:$J$505,"اليوم",$E$6:$E$505,"&lt;"&amp;E349)+COUNTIFS($E$6:E349,E349&amp;"",$J$6:J349,J349),"")</f>
        <v/>
      </c>
    </row>
    <row r="350">
      <c r="A350" s="5" t="n"/>
      <c r="B350" s="5" t="n"/>
      <c r="C350" s="5" t="n"/>
      <c r="D350" s="16" t="n"/>
      <c r="E350" s="13" t="n"/>
      <c r="F350" s="13" t="n"/>
      <c r="G350" s="5" t="n"/>
      <c r="H350" s="17">
        <f>IF(C350&amp;""="","",IFERROR(VLOOKUP(C350,'الإعدادات'!$A$8:$B$13,2,FALSE),""))</f>
        <v/>
      </c>
      <c r="I350" s="18">
        <f>IF(OR(H350="",NOT(ISNUMBER(D350))),"",ROUND(D350*H350,2))</f>
        <v/>
      </c>
      <c r="J350" s="6">
        <f>IF(A350&amp;""="","",IF(OR(C350="تم",C350="خسارة"),"مغلقة",IF(NOT(ISNUMBER(E350)),"بلا موعد",IF(E350&lt;'الإعدادات'!$B$4,"متأخرة",IF(E350='الإعدادات'!$B$4,"اليوم","قادمة")))))</f>
        <v/>
      </c>
      <c r="K350" s="19">
        <f>IF(OR(J350="متأخرة",J350="اليوم"),'الإعدادات'!$B$4-E350,"")</f>
        <v/>
      </c>
      <c r="L350" s="19">
        <f>IF(OR(A350&amp;""="",NOT(ISNUMBER(F350))),"",'الإعدادات'!$B$4-F350)</f>
        <v/>
      </c>
      <c r="M350" s="19">
        <f>IF(OR(J350="متأخرة",J350="اليوم"),COUNTIFS($J$6:$J$505,"متأخرة",$E$6:$E$505,"&lt;"&amp;E350)+COUNTIFS($J$6:$J$505,"اليوم",$E$6:$E$505,"&lt;"&amp;E350)+COUNTIFS($E$6:E350,E350&amp;"",$J$6:J350,J350),"")</f>
        <v/>
      </c>
    </row>
    <row r="351">
      <c r="A351" s="5" t="n"/>
      <c r="B351" s="5" t="n"/>
      <c r="C351" s="5" t="n"/>
      <c r="D351" s="16" t="n"/>
      <c r="E351" s="13" t="n"/>
      <c r="F351" s="13" t="n"/>
      <c r="G351" s="5" t="n"/>
      <c r="H351" s="17">
        <f>IF(C351&amp;""="","",IFERROR(VLOOKUP(C351,'الإعدادات'!$A$8:$B$13,2,FALSE),""))</f>
        <v/>
      </c>
      <c r="I351" s="18">
        <f>IF(OR(H351="",NOT(ISNUMBER(D351))),"",ROUND(D351*H351,2))</f>
        <v/>
      </c>
      <c r="J351" s="6">
        <f>IF(A351&amp;""="","",IF(OR(C351="تم",C351="خسارة"),"مغلقة",IF(NOT(ISNUMBER(E351)),"بلا موعد",IF(E351&lt;'الإعدادات'!$B$4,"متأخرة",IF(E351='الإعدادات'!$B$4,"اليوم","قادمة")))))</f>
        <v/>
      </c>
      <c r="K351" s="19">
        <f>IF(OR(J351="متأخرة",J351="اليوم"),'الإعدادات'!$B$4-E351,"")</f>
        <v/>
      </c>
      <c r="L351" s="19">
        <f>IF(OR(A351&amp;""="",NOT(ISNUMBER(F351))),"",'الإعدادات'!$B$4-F351)</f>
        <v/>
      </c>
      <c r="M351" s="19">
        <f>IF(OR(J351="متأخرة",J351="اليوم"),COUNTIFS($J$6:$J$505,"متأخرة",$E$6:$E$505,"&lt;"&amp;E351)+COUNTIFS($J$6:$J$505,"اليوم",$E$6:$E$505,"&lt;"&amp;E351)+COUNTIFS($E$6:E351,E351&amp;"",$J$6:J351,J351),"")</f>
        <v/>
      </c>
    </row>
    <row r="352">
      <c r="A352" s="5" t="n"/>
      <c r="B352" s="5" t="n"/>
      <c r="C352" s="5" t="n"/>
      <c r="D352" s="16" t="n"/>
      <c r="E352" s="13" t="n"/>
      <c r="F352" s="13" t="n"/>
      <c r="G352" s="5" t="n"/>
      <c r="H352" s="17">
        <f>IF(C352&amp;""="","",IFERROR(VLOOKUP(C352,'الإعدادات'!$A$8:$B$13,2,FALSE),""))</f>
        <v/>
      </c>
      <c r="I352" s="18">
        <f>IF(OR(H352="",NOT(ISNUMBER(D352))),"",ROUND(D352*H352,2))</f>
        <v/>
      </c>
      <c r="J352" s="6">
        <f>IF(A352&amp;""="","",IF(OR(C352="تم",C352="خسارة"),"مغلقة",IF(NOT(ISNUMBER(E352)),"بلا موعد",IF(E352&lt;'الإعدادات'!$B$4,"متأخرة",IF(E352='الإعدادات'!$B$4,"اليوم","قادمة")))))</f>
        <v/>
      </c>
      <c r="K352" s="19">
        <f>IF(OR(J352="متأخرة",J352="اليوم"),'الإعدادات'!$B$4-E352,"")</f>
        <v/>
      </c>
      <c r="L352" s="19">
        <f>IF(OR(A352&amp;""="",NOT(ISNUMBER(F352))),"",'الإعدادات'!$B$4-F352)</f>
        <v/>
      </c>
      <c r="M352" s="19">
        <f>IF(OR(J352="متأخرة",J352="اليوم"),COUNTIFS($J$6:$J$505,"متأخرة",$E$6:$E$505,"&lt;"&amp;E352)+COUNTIFS($J$6:$J$505,"اليوم",$E$6:$E$505,"&lt;"&amp;E352)+COUNTIFS($E$6:E352,E352&amp;"",$J$6:J352,J352),"")</f>
        <v/>
      </c>
    </row>
    <row r="353">
      <c r="A353" s="5" t="n"/>
      <c r="B353" s="5" t="n"/>
      <c r="C353" s="5" t="n"/>
      <c r="D353" s="16" t="n"/>
      <c r="E353" s="13" t="n"/>
      <c r="F353" s="13" t="n"/>
      <c r="G353" s="5" t="n"/>
      <c r="H353" s="17">
        <f>IF(C353&amp;""="","",IFERROR(VLOOKUP(C353,'الإعدادات'!$A$8:$B$13,2,FALSE),""))</f>
        <v/>
      </c>
      <c r="I353" s="18">
        <f>IF(OR(H353="",NOT(ISNUMBER(D353))),"",ROUND(D353*H353,2))</f>
        <v/>
      </c>
      <c r="J353" s="6">
        <f>IF(A353&amp;""="","",IF(OR(C353="تم",C353="خسارة"),"مغلقة",IF(NOT(ISNUMBER(E353)),"بلا موعد",IF(E353&lt;'الإعدادات'!$B$4,"متأخرة",IF(E353='الإعدادات'!$B$4,"اليوم","قادمة")))))</f>
        <v/>
      </c>
      <c r="K353" s="19">
        <f>IF(OR(J353="متأخرة",J353="اليوم"),'الإعدادات'!$B$4-E353,"")</f>
        <v/>
      </c>
      <c r="L353" s="19">
        <f>IF(OR(A353&amp;""="",NOT(ISNUMBER(F353))),"",'الإعدادات'!$B$4-F353)</f>
        <v/>
      </c>
      <c r="M353" s="19">
        <f>IF(OR(J353="متأخرة",J353="اليوم"),COUNTIFS($J$6:$J$505,"متأخرة",$E$6:$E$505,"&lt;"&amp;E353)+COUNTIFS($J$6:$J$505,"اليوم",$E$6:$E$505,"&lt;"&amp;E353)+COUNTIFS($E$6:E353,E353&amp;"",$J$6:J353,J353),"")</f>
        <v/>
      </c>
    </row>
    <row r="354">
      <c r="A354" s="5" t="n"/>
      <c r="B354" s="5" t="n"/>
      <c r="C354" s="5" t="n"/>
      <c r="D354" s="16" t="n"/>
      <c r="E354" s="13" t="n"/>
      <c r="F354" s="13" t="n"/>
      <c r="G354" s="5" t="n"/>
      <c r="H354" s="17">
        <f>IF(C354&amp;""="","",IFERROR(VLOOKUP(C354,'الإعدادات'!$A$8:$B$13,2,FALSE),""))</f>
        <v/>
      </c>
      <c r="I354" s="18">
        <f>IF(OR(H354="",NOT(ISNUMBER(D354))),"",ROUND(D354*H354,2))</f>
        <v/>
      </c>
      <c r="J354" s="6">
        <f>IF(A354&amp;""="","",IF(OR(C354="تم",C354="خسارة"),"مغلقة",IF(NOT(ISNUMBER(E354)),"بلا موعد",IF(E354&lt;'الإعدادات'!$B$4,"متأخرة",IF(E354='الإعدادات'!$B$4,"اليوم","قادمة")))))</f>
        <v/>
      </c>
      <c r="K354" s="19">
        <f>IF(OR(J354="متأخرة",J354="اليوم"),'الإعدادات'!$B$4-E354,"")</f>
        <v/>
      </c>
      <c r="L354" s="19">
        <f>IF(OR(A354&amp;""="",NOT(ISNUMBER(F354))),"",'الإعدادات'!$B$4-F354)</f>
        <v/>
      </c>
      <c r="M354" s="19">
        <f>IF(OR(J354="متأخرة",J354="اليوم"),COUNTIFS($J$6:$J$505,"متأخرة",$E$6:$E$505,"&lt;"&amp;E354)+COUNTIFS($J$6:$J$505,"اليوم",$E$6:$E$505,"&lt;"&amp;E354)+COUNTIFS($E$6:E354,E354&amp;"",$J$6:J354,J354),"")</f>
        <v/>
      </c>
    </row>
    <row r="355">
      <c r="A355" s="5" t="n"/>
      <c r="B355" s="5" t="n"/>
      <c r="C355" s="5" t="n"/>
      <c r="D355" s="16" t="n"/>
      <c r="E355" s="13" t="n"/>
      <c r="F355" s="13" t="n"/>
      <c r="G355" s="5" t="n"/>
      <c r="H355" s="17">
        <f>IF(C355&amp;""="","",IFERROR(VLOOKUP(C355,'الإعدادات'!$A$8:$B$13,2,FALSE),""))</f>
        <v/>
      </c>
      <c r="I355" s="18">
        <f>IF(OR(H355="",NOT(ISNUMBER(D355))),"",ROUND(D355*H355,2))</f>
        <v/>
      </c>
      <c r="J355" s="6">
        <f>IF(A355&amp;""="","",IF(OR(C355="تم",C355="خسارة"),"مغلقة",IF(NOT(ISNUMBER(E355)),"بلا موعد",IF(E355&lt;'الإعدادات'!$B$4,"متأخرة",IF(E355='الإعدادات'!$B$4,"اليوم","قادمة")))))</f>
        <v/>
      </c>
      <c r="K355" s="19">
        <f>IF(OR(J355="متأخرة",J355="اليوم"),'الإعدادات'!$B$4-E355,"")</f>
        <v/>
      </c>
      <c r="L355" s="19">
        <f>IF(OR(A355&amp;""="",NOT(ISNUMBER(F355))),"",'الإعدادات'!$B$4-F355)</f>
        <v/>
      </c>
      <c r="M355" s="19">
        <f>IF(OR(J355="متأخرة",J355="اليوم"),COUNTIFS($J$6:$J$505,"متأخرة",$E$6:$E$505,"&lt;"&amp;E355)+COUNTIFS($J$6:$J$505,"اليوم",$E$6:$E$505,"&lt;"&amp;E355)+COUNTIFS($E$6:E355,E355&amp;"",$J$6:J355,J355),"")</f>
        <v/>
      </c>
    </row>
    <row r="356">
      <c r="A356" s="5" t="n"/>
      <c r="B356" s="5" t="n"/>
      <c r="C356" s="5" t="n"/>
      <c r="D356" s="16" t="n"/>
      <c r="E356" s="13" t="n"/>
      <c r="F356" s="13" t="n"/>
      <c r="G356" s="5" t="n"/>
      <c r="H356" s="17">
        <f>IF(C356&amp;""="","",IFERROR(VLOOKUP(C356,'الإعدادات'!$A$8:$B$13,2,FALSE),""))</f>
        <v/>
      </c>
      <c r="I356" s="18">
        <f>IF(OR(H356="",NOT(ISNUMBER(D356))),"",ROUND(D356*H356,2))</f>
        <v/>
      </c>
      <c r="J356" s="6">
        <f>IF(A356&amp;""="","",IF(OR(C356="تم",C356="خسارة"),"مغلقة",IF(NOT(ISNUMBER(E356)),"بلا موعد",IF(E356&lt;'الإعدادات'!$B$4,"متأخرة",IF(E356='الإعدادات'!$B$4,"اليوم","قادمة")))))</f>
        <v/>
      </c>
      <c r="K356" s="19">
        <f>IF(OR(J356="متأخرة",J356="اليوم"),'الإعدادات'!$B$4-E356,"")</f>
        <v/>
      </c>
      <c r="L356" s="19">
        <f>IF(OR(A356&amp;""="",NOT(ISNUMBER(F356))),"",'الإعدادات'!$B$4-F356)</f>
        <v/>
      </c>
      <c r="M356" s="19">
        <f>IF(OR(J356="متأخرة",J356="اليوم"),COUNTIFS($J$6:$J$505,"متأخرة",$E$6:$E$505,"&lt;"&amp;E356)+COUNTIFS($J$6:$J$505,"اليوم",$E$6:$E$505,"&lt;"&amp;E356)+COUNTIFS($E$6:E356,E356&amp;"",$J$6:J356,J356),"")</f>
        <v/>
      </c>
    </row>
    <row r="357">
      <c r="A357" s="5" t="n"/>
      <c r="B357" s="5" t="n"/>
      <c r="C357" s="5" t="n"/>
      <c r="D357" s="16" t="n"/>
      <c r="E357" s="13" t="n"/>
      <c r="F357" s="13" t="n"/>
      <c r="G357" s="5" t="n"/>
      <c r="H357" s="17">
        <f>IF(C357&amp;""="","",IFERROR(VLOOKUP(C357,'الإعدادات'!$A$8:$B$13,2,FALSE),""))</f>
        <v/>
      </c>
      <c r="I357" s="18">
        <f>IF(OR(H357="",NOT(ISNUMBER(D357))),"",ROUND(D357*H357,2))</f>
        <v/>
      </c>
      <c r="J357" s="6">
        <f>IF(A357&amp;""="","",IF(OR(C357="تم",C357="خسارة"),"مغلقة",IF(NOT(ISNUMBER(E357)),"بلا موعد",IF(E357&lt;'الإعدادات'!$B$4,"متأخرة",IF(E357='الإعدادات'!$B$4,"اليوم","قادمة")))))</f>
        <v/>
      </c>
      <c r="K357" s="19">
        <f>IF(OR(J357="متأخرة",J357="اليوم"),'الإعدادات'!$B$4-E357,"")</f>
        <v/>
      </c>
      <c r="L357" s="19">
        <f>IF(OR(A357&amp;""="",NOT(ISNUMBER(F357))),"",'الإعدادات'!$B$4-F357)</f>
        <v/>
      </c>
      <c r="M357" s="19">
        <f>IF(OR(J357="متأخرة",J357="اليوم"),COUNTIFS($J$6:$J$505,"متأخرة",$E$6:$E$505,"&lt;"&amp;E357)+COUNTIFS($J$6:$J$505,"اليوم",$E$6:$E$505,"&lt;"&amp;E357)+COUNTIFS($E$6:E357,E357&amp;"",$J$6:J357,J357),"")</f>
        <v/>
      </c>
    </row>
    <row r="358">
      <c r="A358" s="5" t="n"/>
      <c r="B358" s="5" t="n"/>
      <c r="C358" s="5" t="n"/>
      <c r="D358" s="16" t="n"/>
      <c r="E358" s="13" t="n"/>
      <c r="F358" s="13" t="n"/>
      <c r="G358" s="5" t="n"/>
      <c r="H358" s="17">
        <f>IF(C358&amp;""="","",IFERROR(VLOOKUP(C358,'الإعدادات'!$A$8:$B$13,2,FALSE),""))</f>
        <v/>
      </c>
      <c r="I358" s="18">
        <f>IF(OR(H358="",NOT(ISNUMBER(D358))),"",ROUND(D358*H358,2))</f>
        <v/>
      </c>
      <c r="J358" s="6">
        <f>IF(A358&amp;""="","",IF(OR(C358="تم",C358="خسارة"),"مغلقة",IF(NOT(ISNUMBER(E358)),"بلا موعد",IF(E358&lt;'الإعدادات'!$B$4,"متأخرة",IF(E358='الإعدادات'!$B$4,"اليوم","قادمة")))))</f>
        <v/>
      </c>
      <c r="K358" s="19">
        <f>IF(OR(J358="متأخرة",J358="اليوم"),'الإعدادات'!$B$4-E358,"")</f>
        <v/>
      </c>
      <c r="L358" s="19">
        <f>IF(OR(A358&amp;""="",NOT(ISNUMBER(F358))),"",'الإعدادات'!$B$4-F358)</f>
        <v/>
      </c>
      <c r="M358" s="19">
        <f>IF(OR(J358="متأخرة",J358="اليوم"),COUNTIFS($J$6:$J$505,"متأخرة",$E$6:$E$505,"&lt;"&amp;E358)+COUNTIFS($J$6:$J$505,"اليوم",$E$6:$E$505,"&lt;"&amp;E358)+COUNTIFS($E$6:E358,E358&amp;"",$J$6:J358,J358),"")</f>
        <v/>
      </c>
    </row>
    <row r="359">
      <c r="A359" s="5" t="n"/>
      <c r="B359" s="5" t="n"/>
      <c r="C359" s="5" t="n"/>
      <c r="D359" s="16" t="n"/>
      <c r="E359" s="13" t="n"/>
      <c r="F359" s="13" t="n"/>
      <c r="G359" s="5" t="n"/>
      <c r="H359" s="17">
        <f>IF(C359&amp;""="","",IFERROR(VLOOKUP(C359,'الإعدادات'!$A$8:$B$13,2,FALSE),""))</f>
        <v/>
      </c>
      <c r="I359" s="18">
        <f>IF(OR(H359="",NOT(ISNUMBER(D359))),"",ROUND(D359*H359,2))</f>
        <v/>
      </c>
      <c r="J359" s="6">
        <f>IF(A359&amp;""="","",IF(OR(C359="تم",C359="خسارة"),"مغلقة",IF(NOT(ISNUMBER(E359)),"بلا موعد",IF(E359&lt;'الإعدادات'!$B$4,"متأخرة",IF(E359='الإعدادات'!$B$4,"اليوم","قادمة")))))</f>
        <v/>
      </c>
      <c r="K359" s="19">
        <f>IF(OR(J359="متأخرة",J359="اليوم"),'الإعدادات'!$B$4-E359,"")</f>
        <v/>
      </c>
      <c r="L359" s="19">
        <f>IF(OR(A359&amp;""="",NOT(ISNUMBER(F359))),"",'الإعدادات'!$B$4-F359)</f>
        <v/>
      </c>
      <c r="M359" s="19">
        <f>IF(OR(J359="متأخرة",J359="اليوم"),COUNTIFS($J$6:$J$505,"متأخرة",$E$6:$E$505,"&lt;"&amp;E359)+COUNTIFS($J$6:$J$505,"اليوم",$E$6:$E$505,"&lt;"&amp;E359)+COUNTIFS($E$6:E359,E359&amp;"",$J$6:J359,J359),"")</f>
        <v/>
      </c>
    </row>
    <row r="360">
      <c r="A360" s="5" t="n"/>
      <c r="B360" s="5" t="n"/>
      <c r="C360" s="5" t="n"/>
      <c r="D360" s="16" t="n"/>
      <c r="E360" s="13" t="n"/>
      <c r="F360" s="13" t="n"/>
      <c r="G360" s="5" t="n"/>
      <c r="H360" s="17">
        <f>IF(C360&amp;""="","",IFERROR(VLOOKUP(C360,'الإعدادات'!$A$8:$B$13,2,FALSE),""))</f>
        <v/>
      </c>
      <c r="I360" s="18">
        <f>IF(OR(H360="",NOT(ISNUMBER(D360))),"",ROUND(D360*H360,2))</f>
        <v/>
      </c>
      <c r="J360" s="6">
        <f>IF(A360&amp;""="","",IF(OR(C360="تم",C360="خسارة"),"مغلقة",IF(NOT(ISNUMBER(E360)),"بلا موعد",IF(E360&lt;'الإعدادات'!$B$4,"متأخرة",IF(E360='الإعدادات'!$B$4,"اليوم","قادمة")))))</f>
        <v/>
      </c>
      <c r="K360" s="19">
        <f>IF(OR(J360="متأخرة",J360="اليوم"),'الإعدادات'!$B$4-E360,"")</f>
        <v/>
      </c>
      <c r="L360" s="19">
        <f>IF(OR(A360&amp;""="",NOT(ISNUMBER(F360))),"",'الإعدادات'!$B$4-F360)</f>
        <v/>
      </c>
      <c r="M360" s="19">
        <f>IF(OR(J360="متأخرة",J360="اليوم"),COUNTIFS($J$6:$J$505,"متأخرة",$E$6:$E$505,"&lt;"&amp;E360)+COUNTIFS($J$6:$J$505,"اليوم",$E$6:$E$505,"&lt;"&amp;E360)+COUNTIFS($E$6:E360,E360&amp;"",$J$6:J360,J360),"")</f>
        <v/>
      </c>
    </row>
    <row r="361">
      <c r="A361" s="5" t="n"/>
      <c r="B361" s="5" t="n"/>
      <c r="C361" s="5" t="n"/>
      <c r="D361" s="16" t="n"/>
      <c r="E361" s="13" t="n"/>
      <c r="F361" s="13" t="n"/>
      <c r="G361" s="5" t="n"/>
      <c r="H361" s="17">
        <f>IF(C361&amp;""="","",IFERROR(VLOOKUP(C361,'الإعدادات'!$A$8:$B$13,2,FALSE),""))</f>
        <v/>
      </c>
      <c r="I361" s="18">
        <f>IF(OR(H361="",NOT(ISNUMBER(D361))),"",ROUND(D361*H361,2))</f>
        <v/>
      </c>
      <c r="J361" s="6">
        <f>IF(A361&amp;""="","",IF(OR(C361="تم",C361="خسارة"),"مغلقة",IF(NOT(ISNUMBER(E361)),"بلا موعد",IF(E361&lt;'الإعدادات'!$B$4,"متأخرة",IF(E361='الإعدادات'!$B$4,"اليوم","قادمة")))))</f>
        <v/>
      </c>
      <c r="K361" s="19">
        <f>IF(OR(J361="متأخرة",J361="اليوم"),'الإعدادات'!$B$4-E361,"")</f>
        <v/>
      </c>
      <c r="L361" s="19">
        <f>IF(OR(A361&amp;""="",NOT(ISNUMBER(F361))),"",'الإعدادات'!$B$4-F361)</f>
        <v/>
      </c>
      <c r="M361" s="19">
        <f>IF(OR(J361="متأخرة",J361="اليوم"),COUNTIFS($J$6:$J$505,"متأخرة",$E$6:$E$505,"&lt;"&amp;E361)+COUNTIFS($J$6:$J$505,"اليوم",$E$6:$E$505,"&lt;"&amp;E361)+COUNTIFS($E$6:E361,E361&amp;"",$J$6:J361,J361),"")</f>
        <v/>
      </c>
    </row>
    <row r="362">
      <c r="A362" s="5" t="n"/>
      <c r="B362" s="5" t="n"/>
      <c r="C362" s="5" t="n"/>
      <c r="D362" s="16" t="n"/>
      <c r="E362" s="13" t="n"/>
      <c r="F362" s="13" t="n"/>
      <c r="G362" s="5" t="n"/>
      <c r="H362" s="17">
        <f>IF(C362&amp;""="","",IFERROR(VLOOKUP(C362,'الإعدادات'!$A$8:$B$13,2,FALSE),""))</f>
        <v/>
      </c>
      <c r="I362" s="18">
        <f>IF(OR(H362="",NOT(ISNUMBER(D362))),"",ROUND(D362*H362,2))</f>
        <v/>
      </c>
      <c r="J362" s="6">
        <f>IF(A362&amp;""="","",IF(OR(C362="تم",C362="خسارة"),"مغلقة",IF(NOT(ISNUMBER(E362)),"بلا موعد",IF(E362&lt;'الإعدادات'!$B$4,"متأخرة",IF(E362='الإعدادات'!$B$4,"اليوم","قادمة")))))</f>
        <v/>
      </c>
      <c r="K362" s="19">
        <f>IF(OR(J362="متأخرة",J362="اليوم"),'الإعدادات'!$B$4-E362,"")</f>
        <v/>
      </c>
      <c r="L362" s="19">
        <f>IF(OR(A362&amp;""="",NOT(ISNUMBER(F362))),"",'الإعدادات'!$B$4-F362)</f>
        <v/>
      </c>
      <c r="M362" s="19">
        <f>IF(OR(J362="متأخرة",J362="اليوم"),COUNTIFS($J$6:$J$505,"متأخرة",$E$6:$E$505,"&lt;"&amp;E362)+COUNTIFS($J$6:$J$505,"اليوم",$E$6:$E$505,"&lt;"&amp;E362)+COUNTIFS($E$6:E362,E362&amp;"",$J$6:J362,J362),"")</f>
        <v/>
      </c>
    </row>
    <row r="363">
      <c r="A363" s="5" t="n"/>
      <c r="B363" s="5" t="n"/>
      <c r="C363" s="5" t="n"/>
      <c r="D363" s="16" t="n"/>
      <c r="E363" s="13" t="n"/>
      <c r="F363" s="13" t="n"/>
      <c r="G363" s="5" t="n"/>
      <c r="H363" s="17">
        <f>IF(C363&amp;""="","",IFERROR(VLOOKUP(C363,'الإعدادات'!$A$8:$B$13,2,FALSE),""))</f>
        <v/>
      </c>
      <c r="I363" s="18">
        <f>IF(OR(H363="",NOT(ISNUMBER(D363))),"",ROUND(D363*H363,2))</f>
        <v/>
      </c>
      <c r="J363" s="6">
        <f>IF(A363&amp;""="","",IF(OR(C363="تم",C363="خسارة"),"مغلقة",IF(NOT(ISNUMBER(E363)),"بلا موعد",IF(E363&lt;'الإعدادات'!$B$4,"متأخرة",IF(E363='الإعدادات'!$B$4,"اليوم","قادمة")))))</f>
        <v/>
      </c>
      <c r="K363" s="19">
        <f>IF(OR(J363="متأخرة",J363="اليوم"),'الإعدادات'!$B$4-E363,"")</f>
        <v/>
      </c>
      <c r="L363" s="19">
        <f>IF(OR(A363&amp;""="",NOT(ISNUMBER(F363))),"",'الإعدادات'!$B$4-F363)</f>
        <v/>
      </c>
      <c r="M363" s="19">
        <f>IF(OR(J363="متأخرة",J363="اليوم"),COUNTIFS($J$6:$J$505,"متأخرة",$E$6:$E$505,"&lt;"&amp;E363)+COUNTIFS($J$6:$J$505,"اليوم",$E$6:$E$505,"&lt;"&amp;E363)+COUNTIFS($E$6:E363,E363&amp;"",$J$6:J363,J363),"")</f>
        <v/>
      </c>
    </row>
    <row r="364">
      <c r="A364" s="5" t="n"/>
      <c r="B364" s="5" t="n"/>
      <c r="C364" s="5" t="n"/>
      <c r="D364" s="16" t="n"/>
      <c r="E364" s="13" t="n"/>
      <c r="F364" s="13" t="n"/>
      <c r="G364" s="5" t="n"/>
      <c r="H364" s="17">
        <f>IF(C364&amp;""="","",IFERROR(VLOOKUP(C364,'الإعدادات'!$A$8:$B$13,2,FALSE),""))</f>
        <v/>
      </c>
      <c r="I364" s="18">
        <f>IF(OR(H364="",NOT(ISNUMBER(D364))),"",ROUND(D364*H364,2))</f>
        <v/>
      </c>
      <c r="J364" s="6">
        <f>IF(A364&amp;""="","",IF(OR(C364="تم",C364="خسارة"),"مغلقة",IF(NOT(ISNUMBER(E364)),"بلا موعد",IF(E364&lt;'الإعدادات'!$B$4,"متأخرة",IF(E364='الإعدادات'!$B$4,"اليوم","قادمة")))))</f>
        <v/>
      </c>
      <c r="K364" s="19">
        <f>IF(OR(J364="متأخرة",J364="اليوم"),'الإعدادات'!$B$4-E364,"")</f>
        <v/>
      </c>
      <c r="L364" s="19">
        <f>IF(OR(A364&amp;""="",NOT(ISNUMBER(F364))),"",'الإعدادات'!$B$4-F364)</f>
        <v/>
      </c>
      <c r="M364" s="19">
        <f>IF(OR(J364="متأخرة",J364="اليوم"),COUNTIFS($J$6:$J$505,"متأخرة",$E$6:$E$505,"&lt;"&amp;E364)+COUNTIFS($J$6:$J$505,"اليوم",$E$6:$E$505,"&lt;"&amp;E364)+COUNTIFS($E$6:E364,E364&amp;"",$J$6:J364,J364),"")</f>
        <v/>
      </c>
    </row>
    <row r="365">
      <c r="A365" s="5" t="n"/>
      <c r="B365" s="5" t="n"/>
      <c r="C365" s="5" t="n"/>
      <c r="D365" s="16" t="n"/>
      <c r="E365" s="13" t="n"/>
      <c r="F365" s="13" t="n"/>
      <c r="G365" s="5" t="n"/>
      <c r="H365" s="17">
        <f>IF(C365&amp;""="","",IFERROR(VLOOKUP(C365,'الإعدادات'!$A$8:$B$13,2,FALSE),""))</f>
        <v/>
      </c>
      <c r="I365" s="18">
        <f>IF(OR(H365="",NOT(ISNUMBER(D365))),"",ROUND(D365*H365,2))</f>
        <v/>
      </c>
      <c r="J365" s="6">
        <f>IF(A365&amp;""="","",IF(OR(C365="تم",C365="خسارة"),"مغلقة",IF(NOT(ISNUMBER(E365)),"بلا موعد",IF(E365&lt;'الإعدادات'!$B$4,"متأخرة",IF(E365='الإعدادات'!$B$4,"اليوم","قادمة")))))</f>
        <v/>
      </c>
      <c r="K365" s="19">
        <f>IF(OR(J365="متأخرة",J365="اليوم"),'الإعدادات'!$B$4-E365,"")</f>
        <v/>
      </c>
      <c r="L365" s="19">
        <f>IF(OR(A365&amp;""="",NOT(ISNUMBER(F365))),"",'الإعدادات'!$B$4-F365)</f>
        <v/>
      </c>
      <c r="M365" s="19">
        <f>IF(OR(J365="متأخرة",J365="اليوم"),COUNTIFS($J$6:$J$505,"متأخرة",$E$6:$E$505,"&lt;"&amp;E365)+COUNTIFS($J$6:$J$505,"اليوم",$E$6:$E$505,"&lt;"&amp;E365)+COUNTIFS($E$6:E365,E365&amp;"",$J$6:J365,J365),"")</f>
        <v/>
      </c>
    </row>
    <row r="366">
      <c r="A366" s="5" t="n"/>
      <c r="B366" s="5" t="n"/>
      <c r="C366" s="5" t="n"/>
      <c r="D366" s="16" t="n"/>
      <c r="E366" s="13" t="n"/>
      <c r="F366" s="13" t="n"/>
      <c r="G366" s="5" t="n"/>
      <c r="H366" s="17">
        <f>IF(C366&amp;""="","",IFERROR(VLOOKUP(C366,'الإعدادات'!$A$8:$B$13,2,FALSE),""))</f>
        <v/>
      </c>
      <c r="I366" s="18">
        <f>IF(OR(H366="",NOT(ISNUMBER(D366))),"",ROUND(D366*H366,2))</f>
        <v/>
      </c>
      <c r="J366" s="6">
        <f>IF(A366&amp;""="","",IF(OR(C366="تم",C366="خسارة"),"مغلقة",IF(NOT(ISNUMBER(E366)),"بلا موعد",IF(E366&lt;'الإعدادات'!$B$4,"متأخرة",IF(E366='الإعدادات'!$B$4,"اليوم","قادمة")))))</f>
        <v/>
      </c>
      <c r="K366" s="19">
        <f>IF(OR(J366="متأخرة",J366="اليوم"),'الإعدادات'!$B$4-E366,"")</f>
        <v/>
      </c>
      <c r="L366" s="19">
        <f>IF(OR(A366&amp;""="",NOT(ISNUMBER(F366))),"",'الإعدادات'!$B$4-F366)</f>
        <v/>
      </c>
      <c r="M366" s="19">
        <f>IF(OR(J366="متأخرة",J366="اليوم"),COUNTIFS($J$6:$J$505,"متأخرة",$E$6:$E$505,"&lt;"&amp;E366)+COUNTIFS($J$6:$J$505,"اليوم",$E$6:$E$505,"&lt;"&amp;E366)+COUNTIFS($E$6:E366,E366&amp;"",$J$6:J366,J366),"")</f>
        <v/>
      </c>
    </row>
    <row r="367">
      <c r="A367" s="5" t="n"/>
      <c r="B367" s="5" t="n"/>
      <c r="C367" s="5" t="n"/>
      <c r="D367" s="16" t="n"/>
      <c r="E367" s="13" t="n"/>
      <c r="F367" s="13" t="n"/>
      <c r="G367" s="5" t="n"/>
      <c r="H367" s="17">
        <f>IF(C367&amp;""="","",IFERROR(VLOOKUP(C367,'الإعدادات'!$A$8:$B$13,2,FALSE),""))</f>
        <v/>
      </c>
      <c r="I367" s="18">
        <f>IF(OR(H367="",NOT(ISNUMBER(D367))),"",ROUND(D367*H367,2))</f>
        <v/>
      </c>
      <c r="J367" s="6">
        <f>IF(A367&amp;""="","",IF(OR(C367="تم",C367="خسارة"),"مغلقة",IF(NOT(ISNUMBER(E367)),"بلا موعد",IF(E367&lt;'الإعدادات'!$B$4,"متأخرة",IF(E367='الإعدادات'!$B$4,"اليوم","قادمة")))))</f>
        <v/>
      </c>
      <c r="K367" s="19">
        <f>IF(OR(J367="متأخرة",J367="اليوم"),'الإعدادات'!$B$4-E367,"")</f>
        <v/>
      </c>
      <c r="L367" s="19">
        <f>IF(OR(A367&amp;""="",NOT(ISNUMBER(F367))),"",'الإعدادات'!$B$4-F367)</f>
        <v/>
      </c>
      <c r="M367" s="19">
        <f>IF(OR(J367="متأخرة",J367="اليوم"),COUNTIFS($J$6:$J$505,"متأخرة",$E$6:$E$505,"&lt;"&amp;E367)+COUNTIFS($J$6:$J$505,"اليوم",$E$6:$E$505,"&lt;"&amp;E367)+COUNTIFS($E$6:E367,E367&amp;"",$J$6:J367,J367),"")</f>
        <v/>
      </c>
    </row>
    <row r="368">
      <c r="A368" s="5" t="n"/>
      <c r="B368" s="5" t="n"/>
      <c r="C368" s="5" t="n"/>
      <c r="D368" s="16" t="n"/>
      <c r="E368" s="13" t="n"/>
      <c r="F368" s="13" t="n"/>
      <c r="G368" s="5" t="n"/>
      <c r="H368" s="17">
        <f>IF(C368&amp;""="","",IFERROR(VLOOKUP(C368,'الإعدادات'!$A$8:$B$13,2,FALSE),""))</f>
        <v/>
      </c>
      <c r="I368" s="18">
        <f>IF(OR(H368="",NOT(ISNUMBER(D368))),"",ROUND(D368*H368,2))</f>
        <v/>
      </c>
      <c r="J368" s="6">
        <f>IF(A368&amp;""="","",IF(OR(C368="تم",C368="خسارة"),"مغلقة",IF(NOT(ISNUMBER(E368)),"بلا موعد",IF(E368&lt;'الإعدادات'!$B$4,"متأخرة",IF(E368='الإعدادات'!$B$4,"اليوم","قادمة")))))</f>
        <v/>
      </c>
      <c r="K368" s="19">
        <f>IF(OR(J368="متأخرة",J368="اليوم"),'الإعدادات'!$B$4-E368,"")</f>
        <v/>
      </c>
      <c r="L368" s="19">
        <f>IF(OR(A368&amp;""="",NOT(ISNUMBER(F368))),"",'الإعدادات'!$B$4-F368)</f>
        <v/>
      </c>
      <c r="M368" s="19">
        <f>IF(OR(J368="متأخرة",J368="اليوم"),COUNTIFS($J$6:$J$505,"متأخرة",$E$6:$E$505,"&lt;"&amp;E368)+COUNTIFS($J$6:$J$505,"اليوم",$E$6:$E$505,"&lt;"&amp;E368)+COUNTIFS($E$6:E368,E368&amp;"",$J$6:J368,J368),"")</f>
        <v/>
      </c>
    </row>
    <row r="369">
      <c r="A369" s="5" t="n"/>
      <c r="B369" s="5" t="n"/>
      <c r="C369" s="5" t="n"/>
      <c r="D369" s="16" t="n"/>
      <c r="E369" s="13" t="n"/>
      <c r="F369" s="13" t="n"/>
      <c r="G369" s="5" t="n"/>
      <c r="H369" s="17">
        <f>IF(C369&amp;""="","",IFERROR(VLOOKUP(C369,'الإعدادات'!$A$8:$B$13,2,FALSE),""))</f>
        <v/>
      </c>
      <c r="I369" s="18">
        <f>IF(OR(H369="",NOT(ISNUMBER(D369))),"",ROUND(D369*H369,2))</f>
        <v/>
      </c>
      <c r="J369" s="6">
        <f>IF(A369&amp;""="","",IF(OR(C369="تم",C369="خسارة"),"مغلقة",IF(NOT(ISNUMBER(E369)),"بلا موعد",IF(E369&lt;'الإعدادات'!$B$4,"متأخرة",IF(E369='الإعدادات'!$B$4,"اليوم","قادمة")))))</f>
        <v/>
      </c>
      <c r="K369" s="19">
        <f>IF(OR(J369="متأخرة",J369="اليوم"),'الإعدادات'!$B$4-E369,"")</f>
        <v/>
      </c>
      <c r="L369" s="19">
        <f>IF(OR(A369&amp;""="",NOT(ISNUMBER(F369))),"",'الإعدادات'!$B$4-F369)</f>
        <v/>
      </c>
      <c r="M369" s="19">
        <f>IF(OR(J369="متأخرة",J369="اليوم"),COUNTIFS($J$6:$J$505,"متأخرة",$E$6:$E$505,"&lt;"&amp;E369)+COUNTIFS($J$6:$J$505,"اليوم",$E$6:$E$505,"&lt;"&amp;E369)+COUNTIFS($E$6:E369,E369&amp;"",$J$6:J369,J369),"")</f>
        <v/>
      </c>
    </row>
    <row r="370">
      <c r="A370" s="5" t="n"/>
      <c r="B370" s="5" t="n"/>
      <c r="C370" s="5" t="n"/>
      <c r="D370" s="16" t="n"/>
      <c r="E370" s="13" t="n"/>
      <c r="F370" s="13" t="n"/>
      <c r="G370" s="5" t="n"/>
      <c r="H370" s="17">
        <f>IF(C370&amp;""="","",IFERROR(VLOOKUP(C370,'الإعدادات'!$A$8:$B$13,2,FALSE),""))</f>
        <v/>
      </c>
      <c r="I370" s="18">
        <f>IF(OR(H370="",NOT(ISNUMBER(D370))),"",ROUND(D370*H370,2))</f>
        <v/>
      </c>
      <c r="J370" s="6">
        <f>IF(A370&amp;""="","",IF(OR(C370="تم",C370="خسارة"),"مغلقة",IF(NOT(ISNUMBER(E370)),"بلا موعد",IF(E370&lt;'الإعدادات'!$B$4,"متأخرة",IF(E370='الإعدادات'!$B$4,"اليوم","قادمة")))))</f>
        <v/>
      </c>
      <c r="K370" s="19">
        <f>IF(OR(J370="متأخرة",J370="اليوم"),'الإعدادات'!$B$4-E370,"")</f>
        <v/>
      </c>
      <c r="L370" s="19">
        <f>IF(OR(A370&amp;""="",NOT(ISNUMBER(F370))),"",'الإعدادات'!$B$4-F370)</f>
        <v/>
      </c>
      <c r="M370" s="19">
        <f>IF(OR(J370="متأخرة",J370="اليوم"),COUNTIFS($J$6:$J$505,"متأخرة",$E$6:$E$505,"&lt;"&amp;E370)+COUNTIFS($J$6:$J$505,"اليوم",$E$6:$E$505,"&lt;"&amp;E370)+COUNTIFS($E$6:E370,E370&amp;"",$J$6:J370,J370),"")</f>
        <v/>
      </c>
    </row>
    <row r="371">
      <c r="A371" s="5" t="n"/>
      <c r="B371" s="5" t="n"/>
      <c r="C371" s="5" t="n"/>
      <c r="D371" s="16" t="n"/>
      <c r="E371" s="13" t="n"/>
      <c r="F371" s="13" t="n"/>
      <c r="G371" s="5" t="n"/>
      <c r="H371" s="17">
        <f>IF(C371&amp;""="","",IFERROR(VLOOKUP(C371,'الإعدادات'!$A$8:$B$13,2,FALSE),""))</f>
        <v/>
      </c>
      <c r="I371" s="18">
        <f>IF(OR(H371="",NOT(ISNUMBER(D371))),"",ROUND(D371*H371,2))</f>
        <v/>
      </c>
      <c r="J371" s="6">
        <f>IF(A371&amp;""="","",IF(OR(C371="تم",C371="خسارة"),"مغلقة",IF(NOT(ISNUMBER(E371)),"بلا موعد",IF(E371&lt;'الإعدادات'!$B$4,"متأخرة",IF(E371='الإعدادات'!$B$4,"اليوم","قادمة")))))</f>
        <v/>
      </c>
      <c r="K371" s="19">
        <f>IF(OR(J371="متأخرة",J371="اليوم"),'الإعدادات'!$B$4-E371,"")</f>
        <v/>
      </c>
      <c r="L371" s="19">
        <f>IF(OR(A371&amp;""="",NOT(ISNUMBER(F371))),"",'الإعدادات'!$B$4-F371)</f>
        <v/>
      </c>
      <c r="M371" s="19">
        <f>IF(OR(J371="متأخرة",J371="اليوم"),COUNTIFS($J$6:$J$505,"متأخرة",$E$6:$E$505,"&lt;"&amp;E371)+COUNTIFS($J$6:$J$505,"اليوم",$E$6:$E$505,"&lt;"&amp;E371)+COUNTIFS($E$6:E371,E371&amp;"",$J$6:J371,J371),"")</f>
        <v/>
      </c>
    </row>
    <row r="372">
      <c r="A372" s="5" t="n"/>
      <c r="B372" s="5" t="n"/>
      <c r="C372" s="5" t="n"/>
      <c r="D372" s="16" t="n"/>
      <c r="E372" s="13" t="n"/>
      <c r="F372" s="13" t="n"/>
      <c r="G372" s="5" t="n"/>
      <c r="H372" s="17">
        <f>IF(C372&amp;""="","",IFERROR(VLOOKUP(C372,'الإعدادات'!$A$8:$B$13,2,FALSE),""))</f>
        <v/>
      </c>
      <c r="I372" s="18">
        <f>IF(OR(H372="",NOT(ISNUMBER(D372))),"",ROUND(D372*H372,2))</f>
        <v/>
      </c>
      <c r="J372" s="6">
        <f>IF(A372&amp;""="","",IF(OR(C372="تم",C372="خسارة"),"مغلقة",IF(NOT(ISNUMBER(E372)),"بلا موعد",IF(E372&lt;'الإعدادات'!$B$4,"متأخرة",IF(E372='الإعدادات'!$B$4,"اليوم","قادمة")))))</f>
        <v/>
      </c>
      <c r="K372" s="19">
        <f>IF(OR(J372="متأخرة",J372="اليوم"),'الإعدادات'!$B$4-E372,"")</f>
        <v/>
      </c>
      <c r="L372" s="19">
        <f>IF(OR(A372&amp;""="",NOT(ISNUMBER(F372))),"",'الإعدادات'!$B$4-F372)</f>
        <v/>
      </c>
      <c r="M372" s="19">
        <f>IF(OR(J372="متأخرة",J372="اليوم"),COUNTIFS($J$6:$J$505,"متأخرة",$E$6:$E$505,"&lt;"&amp;E372)+COUNTIFS($J$6:$J$505,"اليوم",$E$6:$E$505,"&lt;"&amp;E372)+COUNTIFS($E$6:E372,E372&amp;"",$J$6:J372,J372),"")</f>
        <v/>
      </c>
    </row>
    <row r="373">
      <c r="A373" s="5" t="n"/>
      <c r="B373" s="5" t="n"/>
      <c r="C373" s="5" t="n"/>
      <c r="D373" s="16" t="n"/>
      <c r="E373" s="13" t="n"/>
      <c r="F373" s="13" t="n"/>
      <c r="G373" s="5" t="n"/>
      <c r="H373" s="17">
        <f>IF(C373&amp;""="","",IFERROR(VLOOKUP(C373,'الإعدادات'!$A$8:$B$13,2,FALSE),""))</f>
        <v/>
      </c>
      <c r="I373" s="18">
        <f>IF(OR(H373="",NOT(ISNUMBER(D373))),"",ROUND(D373*H373,2))</f>
        <v/>
      </c>
      <c r="J373" s="6">
        <f>IF(A373&amp;""="","",IF(OR(C373="تم",C373="خسارة"),"مغلقة",IF(NOT(ISNUMBER(E373)),"بلا موعد",IF(E373&lt;'الإعدادات'!$B$4,"متأخرة",IF(E373='الإعدادات'!$B$4,"اليوم","قادمة")))))</f>
        <v/>
      </c>
      <c r="K373" s="19">
        <f>IF(OR(J373="متأخرة",J373="اليوم"),'الإعدادات'!$B$4-E373,"")</f>
        <v/>
      </c>
      <c r="L373" s="19">
        <f>IF(OR(A373&amp;""="",NOT(ISNUMBER(F373))),"",'الإعدادات'!$B$4-F373)</f>
        <v/>
      </c>
      <c r="M373" s="19">
        <f>IF(OR(J373="متأخرة",J373="اليوم"),COUNTIFS($J$6:$J$505,"متأخرة",$E$6:$E$505,"&lt;"&amp;E373)+COUNTIFS($J$6:$J$505,"اليوم",$E$6:$E$505,"&lt;"&amp;E373)+COUNTIFS($E$6:E373,E373&amp;"",$J$6:J373,J373),"")</f>
        <v/>
      </c>
    </row>
    <row r="374">
      <c r="A374" s="5" t="n"/>
      <c r="B374" s="5" t="n"/>
      <c r="C374" s="5" t="n"/>
      <c r="D374" s="16" t="n"/>
      <c r="E374" s="13" t="n"/>
      <c r="F374" s="13" t="n"/>
      <c r="G374" s="5" t="n"/>
      <c r="H374" s="17">
        <f>IF(C374&amp;""="","",IFERROR(VLOOKUP(C374,'الإعدادات'!$A$8:$B$13,2,FALSE),""))</f>
        <v/>
      </c>
      <c r="I374" s="18">
        <f>IF(OR(H374="",NOT(ISNUMBER(D374))),"",ROUND(D374*H374,2))</f>
        <v/>
      </c>
      <c r="J374" s="6">
        <f>IF(A374&amp;""="","",IF(OR(C374="تم",C374="خسارة"),"مغلقة",IF(NOT(ISNUMBER(E374)),"بلا موعد",IF(E374&lt;'الإعدادات'!$B$4,"متأخرة",IF(E374='الإعدادات'!$B$4,"اليوم","قادمة")))))</f>
        <v/>
      </c>
      <c r="K374" s="19">
        <f>IF(OR(J374="متأخرة",J374="اليوم"),'الإعدادات'!$B$4-E374,"")</f>
        <v/>
      </c>
      <c r="L374" s="19">
        <f>IF(OR(A374&amp;""="",NOT(ISNUMBER(F374))),"",'الإعدادات'!$B$4-F374)</f>
        <v/>
      </c>
      <c r="M374" s="19">
        <f>IF(OR(J374="متأخرة",J374="اليوم"),COUNTIFS($J$6:$J$505,"متأخرة",$E$6:$E$505,"&lt;"&amp;E374)+COUNTIFS($J$6:$J$505,"اليوم",$E$6:$E$505,"&lt;"&amp;E374)+COUNTIFS($E$6:E374,E374&amp;"",$J$6:J374,J374),"")</f>
        <v/>
      </c>
    </row>
    <row r="375">
      <c r="A375" s="5" t="n"/>
      <c r="B375" s="5" t="n"/>
      <c r="C375" s="5" t="n"/>
      <c r="D375" s="16" t="n"/>
      <c r="E375" s="13" t="n"/>
      <c r="F375" s="13" t="n"/>
      <c r="G375" s="5" t="n"/>
      <c r="H375" s="17">
        <f>IF(C375&amp;""="","",IFERROR(VLOOKUP(C375,'الإعدادات'!$A$8:$B$13,2,FALSE),""))</f>
        <v/>
      </c>
      <c r="I375" s="18">
        <f>IF(OR(H375="",NOT(ISNUMBER(D375))),"",ROUND(D375*H375,2))</f>
        <v/>
      </c>
      <c r="J375" s="6">
        <f>IF(A375&amp;""="","",IF(OR(C375="تم",C375="خسارة"),"مغلقة",IF(NOT(ISNUMBER(E375)),"بلا موعد",IF(E375&lt;'الإعدادات'!$B$4,"متأخرة",IF(E375='الإعدادات'!$B$4,"اليوم","قادمة")))))</f>
        <v/>
      </c>
      <c r="K375" s="19">
        <f>IF(OR(J375="متأخرة",J375="اليوم"),'الإعدادات'!$B$4-E375,"")</f>
        <v/>
      </c>
      <c r="L375" s="19">
        <f>IF(OR(A375&amp;""="",NOT(ISNUMBER(F375))),"",'الإعدادات'!$B$4-F375)</f>
        <v/>
      </c>
      <c r="M375" s="19">
        <f>IF(OR(J375="متأخرة",J375="اليوم"),COUNTIFS($J$6:$J$505,"متأخرة",$E$6:$E$505,"&lt;"&amp;E375)+COUNTIFS($J$6:$J$505,"اليوم",$E$6:$E$505,"&lt;"&amp;E375)+COUNTIFS($E$6:E375,E375&amp;"",$J$6:J375,J375),"")</f>
        <v/>
      </c>
    </row>
    <row r="376">
      <c r="A376" s="5" t="n"/>
      <c r="B376" s="5" t="n"/>
      <c r="C376" s="5" t="n"/>
      <c r="D376" s="16" t="n"/>
      <c r="E376" s="13" t="n"/>
      <c r="F376" s="13" t="n"/>
      <c r="G376" s="5" t="n"/>
      <c r="H376" s="17">
        <f>IF(C376&amp;""="","",IFERROR(VLOOKUP(C376,'الإعدادات'!$A$8:$B$13,2,FALSE),""))</f>
        <v/>
      </c>
      <c r="I376" s="18">
        <f>IF(OR(H376="",NOT(ISNUMBER(D376))),"",ROUND(D376*H376,2))</f>
        <v/>
      </c>
      <c r="J376" s="6">
        <f>IF(A376&amp;""="","",IF(OR(C376="تم",C376="خسارة"),"مغلقة",IF(NOT(ISNUMBER(E376)),"بلا موعد",IF(E376&lt;'الإعدادات'!$B$4,"متأخرة",IF(E376='الإعدادات'!$B$4,"اليوم","قادمة")))))</f>
        <v/>
      </c>
      <c r="K376" s="19">
        <f>IF(OR(J376="متأخرة",J376="اليوم"),'الإعدادات'!$B$4-E376,"")</f>
        <v/>
      </c>
      <c r="L376" s="19">
        <f>IF(OR(A376&amp;""="",NOT(ISNUMBER(F376))),"",'الإعدادات'!$B$4-F376)</f>
        <v/>
      </c>
      <c r="M376" s="19">
        <f>IF(OR(J376="متأخرة",J376="اليوم"),COUNTIFS($J$6:$J$505,"متأخرة",$E$6:$E$505,"&lt;"&amp;E376)+COUNTIFS($J$6:$J$505,"اليوم",$E$6:$E$505,"&lt;"&amp;E376)+COUNTIFS($E$6:E376,E376&amp;"",$J$6:J376,J376),"")</f>
        <v/>
      </c>
    </row>
    <row r="377">
      <c r="A377" s="5" t="n"/>
      <c r="B377" s="5" t="n"/>
      <c r="C377" s="5" t="n"/>
      <c r="D377" s="16" t="n"/>
      <c r="E377" s="13" t="n"/>
      <c r="F377" s="13" t="n"/>
      <c r="G377" s="5" t="n"/>
      <c r="H377" s="17">
        <f>IF(C377&amp;""="","",IFERROR(VLOOKUP(C377,'الإعدادات'!$A$8:$B$13,2,FALSE),""))</f>
        <v/>
      </c>
      <c r="I377" s="18">
        <f>IF(OR(H377="",NOT(ISNUMBER(D377))),"",ROUND(D377*H377,2))</f>
        <v/>
      </c>
      <c r="J377" s="6">
        <f>IF(A377&amp;""="","",IF(OR(C377="تم",C377="خسارة"),"مغلقة",IF(NOT(ISNUMBER(E377)),"بلا موعد",IF(E377&lt;'الإعدادات'!$B$4,"متأخرة",IF(E377='الإعدادات'!$B$4,"اليوم","قادمة")))))</f>
        <v/>
      </c>
      <c r="K377" s="19">
        <f>IF(OR(J377="متأخرة",J377="اليوم"),'الإعدادات'!$B$4-E377,"")</f>
        <v/>
      </c>
      <c r="L377" s="19">
        <f>IF(OR(A377&amp;""="",NOT(ISNUMBER(F377))),"",'الإعدادات'!$B$4-F377)</f>
        <v/>
      </c>
      <c r="M377" s="19">
        <f>IF(OR(J377="متأخرة",J377="اليوم"),COUNTIFS($J$6:$J$505,"متأخرة",$E$6:$E$505,"&lt;"&amp;E377)+COUNTIFS($J$6:$J$505,"اليوم",$E$6:$E$505,"&lt;"&amp;E377)+COUNTIFS($E$6:E377,E377&amp;"",$J$6:J377,J377),"")</f>
        <v/>
      </c>
    </row>
    <row r="378">
      <c r="A378" s="5" t="n"/>
      <c r="B378" s="5" t="n"/>
      <c r="C378" s="5" t="n"/>
      <c r="D378" s="16" t="n"/>
      <c r="E378" s="13" t="n"/>
      <c r="F378" s="13" t="n"/>
      <c r="G378" s="5" t="n"/>
      <c r="H378" s="17">
        <f>IF(C378&amp;""="","",IFERROR(VLOOKUP(C378,'الإعدادات'!$A$8:$B$13,2,FALSE),""))</f>
        <v/>
      </c>
      <c r="I378" s="18">
        <f>IF(OR(H378="",NOT(ISNUMBER(D378))),"",ROUND(D378*H378,2))</f>
        <v/>
      </c>
      <c r="J378" s="6">
        <f>IF(A378&amp;""="","",IF(OR(C378="تم",C378="خسارة"),"مغلقة",IF(NOT(ISNUMBER(E378)),"بلا موعد",IF(E378&lt;'الإعدادات'!$B$4,"متأخرة",IF(E378='الإعدادات'!$B$4,"اليوم","قادمة")))))</f>
        <v/>
      </c>
      <c r="K378" s="19">
        <f>IF(OR(J378="متأخرة",J378="اليوم"),'الإعدادات'!$B$4-E378,"")</f>
        <v/>
      </c>
      <c r="L378" s="19">
        <f>IF(OR(A378&amp;""="",NOT(ISNUMBER(F378))),"",'الإعدادات'!$B$4-F378)</f>
        <v/>
      </c>
      <c r="M378" s="19">
        <f>IF(OR(J378="متأخرة",J378="اليوم"),COUNTIFS($J$6:$J$505,"متأخرة",$E$6:$E$505,"&lt;"&amp;E378)+COUNTIFS($J$6:$J$505,"اليوم",$E$6:$E$505,"&lt;"&amp;E378)+COUNTIFS($E$6:E378,E378&amp;"",$J$6:J378,J378),"")</f>
        <v/>
      </c>
    </row>
    <row r="379">
      <c r="A379" s="5" t="n"/>
      <c r="B379" s="5" t="n"/>
      <c r="C379" s="5" t="n"/>
      <c r="D379" s="16" t="n"/>
      <c r="E379" s="13" t="n"/>
      <c r="F379" s="13" t="n"/>
      <c r="G379" s="5" t="n"/>
      <c r="H379" s="17">
        <f>IF(C379&amp;""="","",IFERROR(VLOOKUP(C379,'الإعدادات'!$A$8:$B$13,2,FALSE),""))</f>
        <v/>
      </c>
      <c r="I379" s="18">
        <f>IF(OR(H379="",NOT(ISNUMBER(D379))),"",ROUND(D379*H379,2))</f>
        <v/>
      </c>
      <c r="J379" s="6">
        <f>IF(A379&amp;""="","",IF(OR(C379="تم",C379="خسارة"),"مغلقة",IF(NOT(ISNUMBER(E379)),"بلا موعد",IF(E379&lt;'الإعدادات'!$B$4,"متأخرة",IF(E379='الإعدادات'!$B$4,"اليوم","قادمة")))))</f>
        <v/>
      </c>
      <c r="K379" s="19">
        <f>IF(OR(J379="متأخرة",J379="اليوم"),'الإعدادات'!$B$4-E379,"")</f>
        <v/>
      </c>
      <c r="L379" s="19">
        <f>IF(OR(A379&amp;""="",NOT(ISNUMBER(F379))),"",'الإعدادات'!$B$4-F379)</f>
        <v/>
      </c>
      <c r="M379" s="19">
        <f>IF(OR(J379="متأخرة",J379="اليوم"),COUNTIFS($J$6:$J$505,"متأخرة",$E$6:$E$505,"&lt;"&amp;E379)+COUNTIFS($J$6:$J$505,"اليوم",$E$6:$E$505,"&lt;"&amp;E379)+COUNTIFS($E$6:E379,E379&amp;"",$J$6:J379,J379),"")</f>
        <v/>
      </c>
    </row>
    <row r="380">
      <c r="A380" s="5" t="n"/>
      <c r="B380" s="5" t="n"/>
      <c r="C380" s="5" t="n"/>
      <c r="D380" s="16" t="n"/>
      <c r="E380" s="13" t="n"/>
      <c r="F380" s="13" t="n"/>
      <c r="G380" s="5" t="n"/>
      <c r="H380" s="17">
        <f>IF(C380&amp;""="","",IFERROR(VLOOKUP(C380,'الإعدادات'!$A$8:$B$13,2,FALSE),""))</f>
        <v/>
      </c>
      <c r="I380" s="18">
        <f>IF(OR(H380="",NOT(ISNUMBER(D380))),"",ROUND(D380*H380,2))</f>
        <v/>
      </c>
      <c r="J380" s="6">
        <f>IF(A380&amp;""="","",IF(OR(C380="تم",C380="خسارة"),"مغلقة",IF(NOT(ISNUMBER(E380)),"بلا موعد",IF(E380&lt;'الإعدادات'!$B$4,"متأخرة",IF(E380='الإعدادات'!$B$4,"اليوم","قادمة")))))</f>
        <v/>
      </c>
      <c r="K380" s="19">
        <f>IF(OR(J380="متأخرة",J380="اليوم"),'الإعدادات'!$B$4-E380,"")</f>
        <v/>
      </c>
      <c r="L380" s="19">
        <f>IF(OR(A380&amp;""="",NOT(ISNUMBER(F380))),"",'الإعدادات'!$B$4-F380)</f>
        <v/>
      </c>
      <c r="M380" s="19">
        <f>IF(OR(J380="متأخرة",J380="اليوم"),COUNTIFS($J$6:$J$505,"متأخرة",$E$6:$E$505,"&lt;"&amp;E380)+COUNTIFS($J$6:$J$505,"اليوم",$E$6:$E$505,"&lt;"&amp;E380)+COUNTIFS($E$6:E380,E380&amp;"",$J$6:J380,J380),"")</f>
        <v/>
      </c>
    </row>
    <row r="381">
      <c r="A381" s="5" t="n"/>
      <c r="B381" s="5" t="n"/>
      <c r="C381" s="5" t="n"/>
      <c r="D381" s="16" t="n"/>
      <c r="E381" s="13" t="n"/>
      <c r="F381" s="13" t="n"/>
      <c r="G381" s="5" t="n"/>
      <c r="H381" s="17">
        <f>IF(C381&amp;""="","",IFERROR(VLOOKUP(C381,'الإعدادات'!$A$8:$B$13,2,FALSE),""))</f>
        <v/>
      </c>
      <c r="I381" s="18">
        <f>IF(OR(H381="",NOT(ISNUMBER(D381))),"",ROUND(D381*H381,2))</f>
        <v/>
      </c>
      <c r="J381" s="6">
        <f>IF(A381&amp;""="","",IF(OR(C381="تم",C381="خسارة"),"مغلقة",IF(NOT(ISNUMBER(E381)),"بلا موعد",IF(E381&lt;'الإعدادات'!$B$4,"متأخرة",IF(E381='الإعدادات'!$B$4,"اليوم","قادمة")))))</f>
        <v/>
      </c>
      <c r="K381" s="19">
        <f>IF(OR(J381="متأخرة",J381="اليوم"),'الإعدادات'!$B$4-E381,"")</f>
        <v/>
      </c>
      <c r="L381" s="19">
        <f>IF(OR(A381&amp;""="",NOT(ISNUMBER(F381))),"",'الإعدادات'!$B$4-F381)</f>
        <v/>
      </c>
      <c r="M381" s="19">
        <f>IF(OR(J381="متأخرة",J381="اليوم"),COUNTIFS($J$6:$J$505,"متأخرة",$E$6:$E$505,"&lt;"&amp;E381)+COUNTIFS($J$6:$J$505,"اليوم",$E$6:$E$505,"&lt;"&amp;E381)+COUNTIFS($E$6:E381,E381&amp;"",$J$6:J381,J381),"")</f>
        <v/>
      </c>
    </row>
    <row r="382">
      <c r="A382" s="5" t="n"/>
      <c r="B382" s="5" t="n"/>
      <c r="C382" s="5" t="n"/>
      <c r="D382" s="16" t="n"/>
      <c r="E382" s="13" t="n"/>
      <c r="F382" s="13" t="n"/>
      <c r="G382" s="5" t="n"/>
      <c r="H382" s="17">
        <f>IF(C382&amp;""="","",IFERROR(VLOOKUP(C382,'الإعدادات'!$A$8:$B$13,2,FALSE),""))</f>
        <v/>
      </c>
      <c r="I382" s="18">
        <f>IF(OR(H382="",NOT(ISNUMBER(D382))),"",ROUND(D382*H382,2))</f>
        <v/>
      </c>
      <c r="J382" s="6">
        <f>IF(A382&amp;""="","",IF(OR(C382="تم",C382="خسارة"),"مغلقة",IF(NOT(ISNUMBER(E382)),"بلا موعد",IF(E382&lt;'الإعدادات'!$B$4,"متأخرة",IF(E382='الإعدادات'!$B$4,"اليوم","قادمة")))))</f>
        <v/>
      </c>
      <c r="K382" s="19">
        <f>IF(OR(J382="متأخرة",J382="اليوم"),'الإعدادات'!$B$4-E382,"")</f>
        <v/>
      </c>
      <c r="L382" s="19">
        <f>IF(OR(A382&amp;""="",NOT(ISNUMBER(F382))),"",'الإعدادات'!$B$4-F382)</f>
        <v/>
      </c>
      <c r="M382" s="19">
        <f>IF(OR(J382="متأخرة",J382="اليوم"),COUNTIFS($J$6:$J$505,"متأخرة",$E$6:$E$505,"&lt;"&amp;E382)+COUNTIFS($J$6:$J$505,"اليوم",$E$6:$E$505,"&lt;"&amp;E382)+COUNTIFS($E$6:E382,E382&amp;"",$J$6:J382,J382),"")</f>
        <v/>
      </c>
    </row>
    <row r="383">
      <c r="A383" s="5" t="n"/>
      <c r="B383" s="5" t="n"/>
      <c r="C383" s="5" t="n"/>
      <c r="D383" s="16" t="n"/>
      <c r="E383" s="13" t="n"/>
      <c r="F383" s="13" t="n"/>
      <c r="G383" s="5" t="n"/>
      <c r="H383" s="17">
        <f>IF(C383&amp;""="","",IFERROR(VLOOKUP(C383,'الإعدادات'!$A$8:$B$13,2,FALSE),""))</f>
        <v/>
      </c>
      <c r="I383" s="18">
        <f>IF(OR(H383="",NOT(ISNUMBER(D383))),"",ROUND(D383*H383,2))</f>
        <v/>
      </c>
      <c r="J383" s="6">
        <f>IF(A383&amp;""="","",IF(OR(C383="تم",C383="خسارة"),"مغلقة",IF(NOT(ISNUMBER(E383)),"بلا موعد",IF(E383&lt;'الإعدادات'!$B$4,"متأخرة",IF(E383='الإعدادات'!$B$4,"اليوم","قادمة")))))</f>
        <v/>
      </c>
      <c r="K383" s="19">
        <f>IF(OR(J383="متأخرة",J383="اليوم"),'الإعدادات'!$B$4-E383,"")</f>
        <v/>
      </c>
      <c r="L383" s="19">
        <f>IF(OR(A383&amp;""="",NOT(ISNUMBER(F383))),"",'الإعدادات'!$B$4-F383)</f>
        <v/>
      </c>
      <c r="M383" s="19">
        <f>IF(OR(J383="متأخرة",J383="اليوم"),COUNTIFS($J$6:$J$505,"متأخرة",$E$6:$E$505,"&lt;"&amp;E383)+COUNTIFS($J$6:$J$505,"اليوم",$E$6:$E$505,"&lt;"&amp;E383)+COUNTIFS($E$6:E383,E383&amp;"",$J$6:J383,J383),"")</f>
        <v/>
      </c>
    </row>
    <row r="384">
      <c r="A384" s="5" t="n"/>
      <c r="B384" s="5" t="n"/>
      <c r="C384" s="5" t="n"/>
      <c r="D384" s="16" t="n"/>
      <c r="E384" s="13" t="n"/>
      <c r="F384" s="13" t="n"/>
      <c r="G384" s="5" t="n"/>
      <c r="H384" s="17">
        <f>IF(C384&amp;""="","",IFERROR(VLOOKUP(C384,'الإعدادات'!$A$8:$B$13,2,FALSE),""))</f>
        <v/>
      </c>
      <c r="I384" s="18">
        <f>IF(OR(H384="",NOT(ISNUMBER(D384))),"",ROUND(D384*H384,2))</f>
        <v/>
      </c>
      <c r="J384" s="6">
        <f>IF(A384&amp;""="","",IF(OR(C384="تم",C384="خسارة"),"مغلقة",IF(NOT(ISNUMBER(E384)),"بلا موعد",IF(E384&lt;'الإعدادات'!$B$4,"متأخرة",IF(E384='الإعدادات'!$B$4,"اليوم","قادمة")))))</f>
        <v/>
      </c>
      <c r="K384" s="19">
        <f>IF(OR(J384="متأخرة",J384="اليوم"),'الإعدادات'!$B$4-E384,"")</f>
        <v/>
      </c>
      <c r="L384" s="19">
        <f>IF(OR(A384&amp;""="",NOT(ISNUMBER(F384))),"",'الإعدادات'!$B$4-F384)</f>
        <v/>
      </c>
      <c r="M384" s="19">
        <f>IF(OR(J384="متأخرة",J384="اليوم"),COUNTIFS($J$6:$J$505,"متأخرة",$E$6:$E$505,"&lt;"&amp;E384)+COUNTIFS($J$6:$J$505,"اليوم",$E$6:$E$505,"&lt;"&amp;E384)+COUNTIFS($E$6:E384,E384&amp;"",$J$6:J384,J384),"")</f>
        <v/>
      </c>
    </row>
    <row r="385">
      <c r="A385" s="5" t="n"/>
      <c r="B385" s="5" t="n"/>
      <c r="C385" s="5" t="n"/>
      <c r="D385" s="16" t="n"/>
      <c r="E385" s="13" t="n"/>
      <c r="F385" s="13" t="n"/>
      <c r="G385" s="5" t="n"/>
      <c r="H385" s="17">
        <f>IF(C385&amp;""="","",IFERROR(VLOOKUP(C385,'الإعدادات'!$A$8:$B$13,2,FALSE),""))</f>
        <v/>
      </c>
      <c r="I385" s="18">
        <f>IF(OR(H385="",NOT(ISNUMBER(D385))),"",ROUND(D385*H385,2))</f>
        <v/>
      </c>
      <c r="J385" s="6">
        <f>IF(A385&amp;""="","",IF(OR(C385="تم",C385="خسارة"),"مغلقة",IF(NOT(ISNUMBER(E385)),"بلا موعد",IF(E385&lt;'الإعدادات'!$B$4,"متأخرة",IF(E385='الإعدادات'!$B$4,"اليوم","قادمة")))))</f>
        <v/>
      </c>
      <c r="K385" s="19">
        <f>IF(OR(J385="متأخرة",J385="اليوم"),'الإعدادات'!$B$4-E385,"")</f>
        <v/>
      </c>
      <c r="L385" s="19">
        <f>IF(OR(A385&amp;""="",NOT(ISNUMBER(F385))),"",'الإعدادات'!$B$4-F385)</f>
        <v/>
      </c>
      <c r="M385" s="19">
        <f>IF(OR(J385="متأخرة",J385="اليوم"),COUNTIFS($J$6:$J$505,"متأخرة",$E$6:$E$505,"&lt;"&amp;E385)+COUNTIFS($J$6:$J$505,"اليوم",$E$6:$E$505,"&lt;"&amp;E385)+COUNTIFS($E$6:E385,E385&amp;"",$J$6:J385,J385),"")</f>
        <v/>
      </c>
    </row>
    <row r="386">
      <c r="A386" s="5" t="n"/>
      <c r="B386" s="5" t="n"/>
      <c r="C386" s="5" t="n"/>
      <c r="D386" s="16" t="n"/>
      <c r="E386" s="13" t="n"/>
      <c r="F386" s="13" t="n"/>
      <c r="G386" s="5" t="n"/>
      <c r="H386" s="17">
        <f>IF(C386&amp;""="","",IFERROR(VLOOKUP(C386,'الإعدادات'!$A$8:$B$13,2,FALSE),""))</f>
        <v/>
      </c>
      <c r="I386" s="18">
        <f>IF(OR(H386="",NOT(ISNUMBER(D386))),"",ROUND(D386*H386,2))</f>
        <v/>
      </c>
      <c r="J386" s="6">
        <f>IF(A386&amp;""="","",IF(OR(C386="تم",C386="خسارة"),"مغلقة",IF(NOT(ISNUMBER(E386)),"بلا موعد",IF(E386&lt;'الإعدادات'!$B$4,"متأخرة",IF(E386='الإعدادات'!$B$4,"اليوم","قادمة")))))</f>
        <v/>
      </c>
      <c r="K386" s="19">
        <f>IF(OR(J386="متأخرة",J386="اليوم"),'الإعدادات'!$B$4-E386,"")</f>
        <v/>
      </c>
      <c r="L386" s="19">
        <f>IF(OR(A386&amp;""="",NOT(ISNUMBER(F386))),"",'الإعدادات'!$B$4-F386)</f>
        <v/>
      </c>
      <c r="M386" s="19">
        <f>IF(OR(J386="متأخرة",J386="اليوم"),COUNTIFS($J$6:$J$505,"متأخرة",$E$6:$E$505,"&lt;"&amp;E386)+COUNTIFS($J$6:$J$505,"اليوم",$E$6:$E$505,"&lt;"&amp;E386)+COUNTIFS($E$6:E386,E386&amp;"",$J$6:J386,J386),"")</f>
        <v/>
      </c>
    </row>
    <row r="387">
      <c r="A387" s="5" t="n"/>
      <c r="B387" s="5" t="n"/>
      <c r="C387" s="5" t="n"/>
      <c r="D387" s="16" t="n"/>
      <c r="E387" s="13" t="n"/>
      <c r="F387" s="13" t="n"/>
      <c r="G387" s="5" t="n"/>
      <c r="H387" s="17">
        <f>IF(C387&amp;""="","",IFERROR(VLOOKUP(C387,'الإعدادات'!$A$8:$B$13,2,FALSE),""))</f>
        <v/>
      </c>
      <c r="I387" s="18">
        <f>IF(OR(H387="",NOT(ISNUMBER(D387))),"",ROUND(D387*H387,2))</f>
        <v/>
      </c>
      <c r="J387" s="6">
        <f>IF(A387&amp;""="","",IF(OR(C387="تم",C387="خسارة"),"مغلقة",IF(NOT(ISNUMBER(E387)),"بلا موعد",IF(E387&lt;'الإعدادات'!$B$4,"متأخرة",IF(E387='الإعدادات'!$B$4,"اليوم","قادمة")))))</f>
        <v/>
      </c>
      <c r="K387" s="19">
        <f>IF(OR(J387="متأخرة",J387="اليوم"),'الإعدادات'!$B$4-E387,"")</f>
        <v/>
      </c>
      <c r="L387" s="19">
        <f>IF(OR(A387&amp;""="",NOT(ISNUMBER(F387))),"",'الإعدادات'!$B$4-F387)</f>
        <v/>
      </c>
      <c r="M387" s="19">
        <f>IF(OR(J387="متأخرة",J387="اليوم"),COUNTIFS($J$6:$J$505,"متأخرة",$E$6:$E$505,"&lt;"&amp;E387)+COUNTIFS($J$6:$J$505,"اليوم",$E$6:$E$505,"&lt;"&amp;E387)+COUNTIFS($E$6:E387,E387&amp;"",$J$6:J387,J387),"")</f>
        <v/>
      </c>
    </row>
    <row r="388">
      <c r="A388" s="5" t="n"/>
      <c r="B388" s="5" t="n"/>
      <c r="C388" s="5" t="n"/>
      <c r="D388" s="16" t="n"/>
      <c r="E388" s="13" t="n"/>
      <c r="F388" s="13" t="n"/>
      <c r="G388" s="5" t="n"/>
      <c r="H388" s="17">
        <f>IF(C388&amp;""="","",IFERROR(VLOOKUP(C388,'الإعدادات'!$A$8:$B$13,2,FALSE),""))</f>
        <v/>
      </c>
      <c r="I388" s="18">
        <f>IF(OR(H388="",NOT(ISNUMBER(D388))),"",ROUND(D388*H388,2))</f>
        <v/>
      </c>
      <c r="J388" s="6">
        <f>IF(A388&amp;""="","",IF(OR(C388="تم",C388="خسارة"),"مغلقة",IF(NOT(ISNUMBER(E388)),"بلا موعد",IF(E388&lt;'الإعدادات'!$B$4,"متأخرة",IF(E388='الإعدادات'!$B$4,"اليوم","قادمة")))))</f>
        <v/>
      </c>
      <c r="K388" s="19">
        <f>IF(OR(J388="متأخرة",J388="اليوم"),'الإعدادات'!$B$4-E388,"")</f>
        <v/>
      </c>
      <c r="L388" s="19">
        <f>IF(OR(A388&amp;""="",NOT(ISNUMBER(F388))),"",'الإعدادات'!$B$4-F388)</f>
        <v/>
      </c>
      <c r="M388" s="19">
        <f>IF(OR(J388="متأخرة",J388="اليوم"),COUNTIFS($J$6:$J$505,"متأخرة",$E$6:$E$505,"&lt;"&amp;E388)+COUNTIFS($J$6:$J$505,"اليوم",$E$6:$E$505,"&lt;"&amp;E388)+COUNTIFS($E$6:E388,E388&amp;"",$J$6:J388,J388),"")</f>
        <v/>
      </c>
    </row>
    <row r="389">
      <c r="A389" s="5" t="n"/>
      <c r="B389" s="5" t="n"/>
      <c r="C389" s="5" t="n"/>
      <c r="D389" s="16" t="n"/>
      <c r="E389" s="13" t="n"/>
      <c r="F389" s="13" t="n"/>
      <c r="G389" s="5" t="n"/>
      <c r="H389" s="17">
        <f>IF(C389&amp;""="","",IFERROR(VLOOKUP(C389,'الإعدادات'!$A$8:$B$13,2,FALSE),""))</f>
        <v/>
      </c>
      <c r="I389" s="18">
        <f>IF(OR(H389="",NOT(ISNUMBER(D389))),"",ROUND(D389*H389,2))</f>
        <v/>
      </c>
      <c r="J389" s="6">
        <f>IF(A389&amp;""="","",IF(OR(C389="تم",C389="خسارة"),"مغلقة",IF(NOT(ISNUMBER(E389)),"بلا موعد",IF(E389&lt;'الإعدادات'!$B$4,"متأخرة",IF(E389='الإعدادات'!$B$4,"اليوم","قادمة")))))</f>
        <v/>
      </c>
      <c r="K389" s="19">
        <f>IF(OR(J389="متأخرة",J389="اليوم"),'الإعدادات'!$B$4-E389,"")</f>
        <v/>
      </c>
      <c r="L389" s="19">
        <f>IF(OR(A389&amp;""="",NOT(ISNUMBER(F389))),"",'الإعدادات'!$B$4-F389)</f>
        <v/>
      </c>
      <c r="M389" s="19">
        <f>IF(OR(J389="متأخرة",J389="اليوم"),COUNTIFS($J$6:$J$505,"متأخرة",$E$6:$E$505,"&lt;"&amp;E389)+COUNTIFS($J$6:$J$505,"اليوم",$E$6:$E$505,"&lt;"&amp;E389)+COUNTIFS($E$6:E389,E389&amp;"",$J$6:J389,J389),"")</f>
        <v/>
      </c>
    </row>
    <row r="390">
      <c r="A390" s="5" t="n"/>
      <c r="B390" s="5" t="n"/>
      <c r="C390" s="5" t="n"/>
      <c r="D390" s="16" t="n"/>
      <c r="E390" s="13" t="n"/>
      <c r="F390" s="13" t="n"/>
      <c r="G390" s="5" t="n"/>
      <c r="H390" s="17">
        <f>IF(C390&amp;""="","",IFERROR(VLOOKUP(C390,'الإعدادات'!$A$8:$B$13,2,FALSE),""))</f>
        <v/>
      </c>
      <c r="I390" s="18">
        <f>IF(OR(H390="",NOT(ISNUMBER(D390))),"",ROUND(D390*H390,2))</f>
        <v/>
      </c>
      <c r="J390" s="6">
        <f>IF(A390&amp;""="","",IF(OR(C390="تم",C390="خسارة"),"مغلقة",IF(NOT(ISNUMBER(E390)),"بلا موعد",IF(E390&lt;'الإعدادات'!$B$4,"متأخرة",IF(E390='الإعدادات'!$B$4,"اليوم","قادمة")))))</f>
        <v/>
      </c>
      <c r="K390" s="19">
        <f>IF(OR(J390="متأخرة",J390="اليوم"),'الإعدادات'!$B$4-E390,"")</f>
        <v/>
      </c>
      <c r="L390" s="19">
        <f>IF(OR(A390&amp;""="",NOT(ISNUMBER(F390))),"",'الإعدادات'!$B$4-F390)</f>
        <v/>
      </c>
      <c r="M390" s="19">
        <f>IF(OR(J390="متأخرة",J390="اليوم"),COUNTIFS($J$6:$J$505,"متأخرة",$E$6:$E$505,"&lt;"&amp;E390)+COUNTIFS($J$6:$J$505,"اليوم",$E$6:$E$505,"&lt;"&amp;E390)+COUNTIFS($E$6:E390,E390&amp;"",$J$6:J390,J390),"")</f>
        <v/>
      </c>
    </row>
    <row r="391">
      <c r="A391" s="5" t="n"/>
      <c r="B391" s="5" t="n"/>
      <c r="C391" s="5" t="n"/>
      <c r="D391" s="16" t="n"/>
      <c r="E391" s="13" t="n"/>
      <c r="F391" s="13" t="n"/>
      <c r="G391" s="5" t="n"/>
      <c r="H391" s="17">
        <f>IF(C391&amp;""="","",IFERROR(VLOOKUP(C391,'الإعدادات'!$A$8:$B$13,2,FALSE),""))</f>
        <v/>
      </c>
      <c r="I391" s="18">
        <f>IF(OR(H391="",NOT(ISNUMBER(D391))),"",ROUND(D391*H391,2))</f>
        <v/>
      </c>
      <c r="J391" s="6">
        <f>IF(A391&amp;""="","",IF(OR(C391="تم",C391="خسارة"),"مغلقة",IF(NOT(ISNUMBER(E391)),"بلا موعد",IF(E391&lt;'الإعدادات'!$B$4,"متأخرة",IF(E391='الإعدادات'!$B$4,"اليوم","قادمة")))))</f>
        <v/>
      </c>
      <c r="K391" s="19">
        <f>IF(OR(J391="متأخرة",J391="اليوم"),'الإعدادات'!$B$4-E391,"")</f>
        <v/>
      </c>
      <c r="L391" s="19">
        <f>IF(OR(A391&amp;""="",NOT(ISNUMBER(F391))),"",'الإعدادات'!$B$4-F391)</f>
        <v/>
      </c>
      <c r="M391" s="19">
        <f>IF(OR(J391="متأخرة",J391="اليوم"),COUNTIFS($J$6:$J$505,"متأخرة",$E$6:$E$505,"&lt;"&amp;E391)+COUNTIFS($J$6:$J$505,"اليوم",$E$6:$E$505,"&lt;"&amp;E391)+COUNTIFS($E$6:E391,E391&amp;"",$J$6:J391,J391),"")</f>
        <v/>
      </c>
    </row>
    <row r="392">
      <c r="A392" s="5" t="n"/>
      <c r="B392" s="5" t="n"/>
      <c r="C392" s="5" t="n"/>
      <c r="D392" s="16" t="n"/>
      <c r="E392" s="13" t="n"/>
      <c r="F392" s="13" t="n"/>
      <c r="G392" s="5" t="n"/>
      <c r="H392" s="17">
        <f>IF(C392&amp;""="","",IFERROR(VLOOKUP(C392,'الإعدادات'!$A$8:$B$13,2,FALSE),""))</f>
        <v/>
      </c>
      <c r="I392" s="18">
        <f>IF(OR(H392="",NOT(ISNUMBER(D392))),"",ROUND(D392*H392,2))</f>
        <v/>
      </c>
      <c r="J392" s="6">
        <f>IF(A392&amp;""="","",IF(OR(C392="تم",C392="خسارة"),"مغلقة",IF(NOT(ISNUMBER(E392)),"بلا موعد",IF(E392&lt;'الإعدادات'!$B$4,"متأخرة",IF(E392='الإعدادات'!$B$4,"اليوم","قادمة")))))</f>
        <v/>
      </c>
      <c r="K392" s="19">
        <f>IF(OR(J392="متأخرة",J392="اليوم"),'الإعدادات'!$B$4-E392,"")</f>
        <v/>
      </c>
      <c r="L392" s="19">
        <f>IF(OR(A392&amp;""="",NOT(ISNUMBER(F392))),"",'الإعدادات'!$B$4-F392)</f>
        <v/>
      </c>
      <c r="M392" s="19">
        <f>IF(OR(J392="متأخرة",J392="اليوم"),COUNTIFS($J$6:$J$505,"متأخرة",$E$6:$E$505,"&lt;"&amp;E392)+COUNTIFS($J$6:$J$505,"اليوم",$E$6:$E$505,"&lt;"&amp;E392)+COUNTIFS($E$6:E392,E392&amp;"",$J$6:J392,J392),"")</f>
        <v/>
      </c>
    </row>
    <row r="393">
      <c r="A393" s="5" t="n"/>
      <c r="B393" s="5" t="n"/>
      <c r="C393" s="5" t="n"/>
      <c r="D393" s="16" t="n"/>
      <c r="E393" s="13" t="n"/>
      <c r="F393" s="13" t="n"/>
      <c r="G393" s="5" t="n"/>
      <c r="H393" s="17">
        <f>IF(C393&amp;""="","",IFERROR(VLOOKUP(C393,'الإعدادات'!$A$8:$B$13,2,FALSE),""))</f>
        <v/>
      </c>
      <c r="I393" s="18">
        <f>IF(OR(H393="",NOT(ISNUMBER(D393))),"",ROUND(D393*H393,2))</f>
        <v/>
      </c>
      <c r="J393" s="6">
        <f>IF(A393&amp;""="","",IF(OR(C393="تم",C393="خسارة"),"مغلقة",IF(NOT(ISNUMBER(E393)),"بلا موعد",IF(E393&lt;'الإعدادات'!$B$4,"متأخرة",IF(E393='الإعدادات'!$B$4,"اليوم","قادمة")))))</f>
        <v/>
      </c>
      <c r="K393" s="19">
        <f>IF(OR(J393="متأخرة",J393="اليوم"),'الإعدادات'!$B$4-E393,"")</f>
        <v/>
      </c>
      <c r="L393" s="19">
        <f>IF(OR(A393&amp;""="",NOT(ISNUMBER(F393))),"",'الإعدادات'!$B$4-F393)</f>
        <v/>
      </c>
      <c r="M393" s="19">
        <f>IF(OR(J393="متأخرة",J393="اليوم"),COUNTIFS($J$6:$J$505,"متأخرة",$E$6:$E$505,"&lt;"&amp;E393)+COUNTIFS($J$6:$J$505,"اليوم",$E$6:$E$505,"&lt;"&amp;E393)+COUNTIFS($E$6:E393,E393&amp;"",$J$6:J393,J393),"")</f>
        <v/>
      </c>
    </row>
    <row r="394">
      <c r="A394" s="5" t="n"/>
      <c r="B394" s="5" t="n"/>
      <c r="C394" s="5" t="n"/>
      <c r="D394" s="16" t="n"/>
      <c r="E394" s="13" t="n"/>
      <c r="F394" s="13" t="n"/>
      <c r="G394" s="5" t="n"/>
      <c r="H394" s="17">
        <f>IF(C394&amp;""="","",IFERROR(VLOOKUP(C394,'الإعدادات'!$A$8:$B$13,2,FALSE),""))</f>
        <v/>
      </c>
      <c r="I394" s="18">
        <f>IF(OR(H394="",NOT(ISNUMBER(D394))),"",ROUND(D394*H394,2))</f>
        <v/>
      </c>
      <c r="J394" s="6">
        <f>IF(A394&amp;""="","",IF(OR(C394="تم",C394="خسارة"),"مغلقة",IF(NOT(ISNUMBER(E394)),"بلا موعد",IF(E394&lt;'الإعدادات'!$B$4,"متأخرة",IF(E394='الإعدادات'!$B$4,"اليوم","قادمة")))))</f>
        <v/>
      </c>
      <c r="K394" s="19">
        <f>IF(OR(J394="متأخرة",J394="اليوم"),'الإعدادات'!$B$4-E394,"")</f>
        <v/>
      </c>
      <c r="L394" s="19">
        <f>IF(OR(A394&amp;""="",NOT(ISNUMBER(F394))),"",'الإعدادات'!$B$4-F394)</f>
        <v/>
      </c>
      <c r="M394" s="19">
        <f>IF(OR(J394="متأخرة",J394="اليوم"),COUNTIFS($J$6:$J$505,"متأخرة",$E$6:$E$505,"&lt;"&amp;E394)+COUNTIFS($J$6:$J$505,"اليوم",$E$6:$E$505,"&lt;"&amp;E394)+COUNTIFS($E$6:E394,E394&amp;"",$J$6:J394,J394),"")</f>
        <v/>
      </c>
    </row>
    <row r="395">
      <c r="A395" s="5" t="n"/>
      <c r="B395" s="5" t="n"/>
      <c r="C395" s="5" t="n"/>
      <c r="D395" s="16" t="n"/>
      <c r="E395" s="13" t="n"/>
      <c r="F395" s="13" t="n"/>
      <c r="G395" s="5" t="n"/>
      <c r="H395" s="17">
        <f>IF(C395&amp;""="","",IFERROR(VLOOKUP(C395,'الإعدادات'!$A$8:$B$13,2,FALSE),""))</f>
        <v/>
      </c>
      <c r="I395" s="18">
        <f>IF(OR(H395="",NOT(ISNUMBER(D395))),"",ROUND(D395*H395,2))</f>
        <v/>
      </c>
      <c r="J395" s="6">
        <f>IF(A395&amp;""="","",IF(OR(C395="تم",C395="خسارة"),"مغلقة",IF(NOT(ISNUMBER(E395)),"بلا موعد",IF(E395&lt;'الإعدادات'!$B$4,"متأخرة",IF(E395='الإعدادات'!$B$4,"اليوم","قادمة")))))</f>
        <v/>
      </c>
      <c r="K395" s="19">
        <f>IF(OR(J395="متأخرة",J395="اليوم"),'الإعدادات'!$B$4-E395,"")</f>
        <v/>
      </c>
      <c r="L395" s="19">
        <f>IF(OR(A395&amp;""="",NOT(ISNUMBER(F395))),"",'الإعدادات'!$B$4-F395)</f>
        <v/>
      </c>
      <c r="M395" s="19">
        <f>IF(OR(J395="متأخرة",J395="اليوم"),COUNTIFS($J$6:$J$505,"متأخرة",$E$6:$E$505,"&lt;"&amp;E395)+COUNTIFS($J$6:$J$505,"اليوم",$E$6:$E$505,"&lt;"&amp;E395)+COUNTIFS($E$6:E395,E395&amp;"",$J$6:J395,J395),"")</f>
        <v/>
      </c>
    </row>
    <row r="396">
      <c r="A396" s="5" t="n"/>
      <c r="B396" s="5" t="n"/>
      <c r="C396" s="5" t="n"/>
      <c r="D396" s="16" t="n"/>
      <c r="E396" s="13" t="n"/>
      <c r="F396" s="13" t="n"/>
      <c r="G396" s="5" t="n"/>
      <c r="H396" s="17">
        <f>IF(C396&amp;""="","",IFERROR(VLOOKUP(C396,'الإعدادات'!$A$8:$B$13,2,FALSE),""))</f>
        <v/>
      </c>
      <c r="I396" s="18">
        <f>IF(OR(H396="",NOT(ISNUMBER(D396))),"",ROUND(D396*H396,2))</f>
        <v/>
      </c>
      <c r="J396" s="6">
        <f>IF(A396&amp;""="","",IF(OR(C396="تم",C396="خسارة"),"مغلقة",IF(NOT(ISNUMBER(E396)),"بلا موعد",IF(E396&lt;'الإعدادات'!$B$4,"متأخرة",IF(E396='الإعدادات'!$B$4,"اليوم","قادمة")))))</f>
        <v/>
      </c>
      <c r="K396" s="19">
        <f>IF(OR(J396="متأخرة",J396="اليوم"),'الإعدادات'!$B$4-E396,"")</f>
        <v/>
      </c>
      <c r="L396" s="19">
        <f>IF(OR(A396&amp;""="",NOT(ISNUMBER(F396))),"",'الإعدادات'!$B$4-F396)</f>
        <v/>
      </c>
      <c r="M396" s="19">
        <f>IF(OR(J396="متأخرة",J396="اليوم"),COUNTIFS($J$6:$J$505,"متأخرة",$E$6:$E$505,"&lt;"&amp;E396)+COUNTIFS($J$6:$J$505,"اليوم",$E$6:$E$505,"&lt;"&amp;E396)+COUNTIFS($E$6:E396,E396&amp;"",$J$6:J396,J396),"")</f>
        <v/>
      </c>
    </row>
    <row r="397">
      <c r="A397" s="5" t="n"/>
      <c r="B397" s="5" t="n"/>
      <c r="C397" s="5" t="n"/>
      <c r="D397" s="16" t="n"/>
      <c r="E397" s="13" t="n"/>
      <c r="F397" s="13" t="n"/>
      <c r="G397" s="5" t="n"/>
      <c r="H397" s="17">
        <f>IF(C397&amp;""="","",IFERROR(VLOOKUP(C397,'الإعدادات'!$A$8:$B$13,2,FALSE),""))</f>
        <v/>
      </c>
      <c r="I397" s="18">
        <f>IF(OR(H397="",NOT(ISNUMBER(D397))),"",ROUND(D397*H397,2))</f>
        <v/>
      </c>
      <c r="J397" s="6">
        <f>IF(A397&amp;""="","",IF(OR(C397="تم",C397="خسارة"),"مغلقة",IF(NOT(ISNUMBER(E397)),"بلا موعد",IF(E397&lt;'الإعدادات'!$B$4,"متأخرة",IF(E397='الإعدادات'!$B$4,"اليوم","قادمة")))))</f>
        <v/>
      </c>
      <c r="K397" s="19">
        <f>IF(OR(J397="متأخرة",J397="اليوم"),'الإعدادات'!$B$4-E397,"")</f>
        <v/>
      </c>
      <c r="L397" s="19">
        <f>IF(OR(A397&amp;""="",NOT(ISNUMBER(F397))),"",'الإعدادات'!$B$4-F397)</f>
        <v/>
      </c>
      <c r="M397" s="19">
        <f>IF(OR(J397="متأخرة",J397="اليوم"),COUNTIFS($J$6:$J$505,"متأخرة",$E$6:$E$505,"&lt;"&amp;E397)+COUNTIFS($J$6:$J$505,"اليوم",$E$6:$E$505,"&lt;"&amp;E397)+COUNTIFS($E$6:E397,E397&amp;"",$J$6:J397,J397),"")</f>
        <v/>
      </c>
    </row>
    <row r="398">
      <c r="A398" s="5" t="n"/>
      <c r="B398" s="5" t="n"/>
      <c r="C398" s="5" t="n"/>
      <c r="D398" s="16" t="n"/>
      <c r="E398" s="13" t="n"/>
      <c r="F398" s="13" t="n"/>
      <c r="G398" s="5" t="n"/>
      <c r="H398" s="17">
        <f>IF(C398&amp;""="","",IFERROR(VLOOKUP(C398,'الإعدادات'!$A$8:$B$13,2,FALSE),""))</f>
        <v/>
      </c>
      <c r="I398" s="18">
        <f>IF(OR(H398="",NOT(ISNUMBER(D398))),"",ROUND(D398*H398,2))</f>
        <v/>
      </c>
      <c r="J398" s="6">
        <f>IF(A398&amp;""="","",IF(OR(C398="تم",C398="خسارة"),"مغلقة",IF(NOT(ISNUMBER(E398)),"بلا موعد",IF(E398&lt;'الإعدادات'!$B$4,"متأخرة",IF(E398='الإعدادات'!$B$4,"اليوم","قادمة")))))</f>
        <v/>
      </c>
      <c r="K398" s="19">
        <f>IF(OR(J398="متأخرة",J398="اليوم"),'الإعدادات'!$B$4-E398,"")</f>
        <v/>
      </c>
      <c r="L398" s="19">
        <f>IF(OR(A398&amp;""="",NOT(ISNUMBER(F398))),"",'الإعدادات'!$B$4-F398)</f>
        <v/>
      </c>
      <c r="M398" s="19">
        <f>IF(OR(J398="متأخرة",J398="اليوم"),COUNTIFS($J$6:$J$505,"متأخرة",$E$6:$E$505,"&lt;"&amp;E398)+COUNTIFS($J$6:$J$505,"اليوم",$E$6:$E$505,"&lt;"&amp;E398)+COUNTIFS($E$6:E398,E398&amp;"",$J$6:J398,J398),"")</f>
        <v/>
      </c>
    </row>
    <row r="399">
      <c r="A399" s="5" t="n"/>
      <c r="B399" s="5" t="n"/>
      <c r="C399" s="5" t="n"/>
      <c r="D399" s="16" t="n"/>
      <c r="E399" s="13" t="n"/>
      <c r="F399" s="13" t="n"/>
      <c r="G399" s="5" t="n"/>
      <c r="H399" s="17">
        <f>IF(C399&amp;""="","",IFERROR(VLOOKUP(C399,'الإعدادات'!$A$8:$B$13,2,FALSE),""))</f>
        <v/>
      </c>
      <c r="I399" s="18">
        <f>IF(OR(H399="",NOT(ISNUMBER(D399))),"",ROUND(D399*H399,2))</f>
        <v/>
      </c>
      <c r="J399" s="6">
        <f>IF(A399&amp;""="","",IF(OR(C399="تم",C399="خسارة"),"مغلقة",IF(NOT(ISNUMBER(E399)),"بلا موعد",IF(E399&lt;'الإعدادات'!$B$4,"متأخرة",IF(E399='الإعدادات'!$B$4,"اليوم","قادمة")))))</f>
        <v/>
      </c>
      <c r="K399" s="19">
        <f>IF(OR(J399="متأخرة",J399="اليوم"),'الإعدادات'!$B$4-E399,"")</f>
        <v/>
      </c>
      <c r="L399" s="19">
        <f>IF(OR(A399&amp;""="",NOT(ISNUMBER(F399))),"",'الإعدادات'!$B$4-F399)</f>
        <v/>
      </c>
      <c r="M399" s="19">
        <f>IF(OR(J399="متأخرة",J399="اليوم"),COUNTIFS($J$6:$J$505,"متأخرة",$E$6:$E$505,"&lt;"&amp;E399)+COUNTIFS($J$6:$J$505,"اليوم",$E$6:$E$505,"&lt;"&amp;E399)+COUNTIFS($E$6:E399,E399&amp;"",$J$6:J399,J399),"")</f>
        <v/>
      </c>
    </row>
    <row r="400">
      <c r="A400" s="5" t="n"/>
      <c r="B400" s="5" t="n"/>
      <c r="C400" s="5" t="n"/>
      <c r="D400" s="16" t="n"/>
      <c r="E400" s="13" t="n"/>
      <c r="F400" s="13" t="n"/>
      <c r="G400" s="5" t="n"/>
      <c r="H400" s="17">
        <f>IF(C400&amp;""="","",IFERROR(VLOOKUP(C400,'الإعدادات'!$A$8:$B$13,2,FALSE),""))</f>
        <v/>
      </c>
      <c r="I400" s="18">
        <f>IF(OR(H400="",NOT(ISNUMBER(D400))),"",ROUND(D400*H400,2))</f>
        <v/>
      </c>
      <c r="J400" s="6">
        <f>IF(A400&amp;""="","",IF(OR(C400="تم",C400="خسارة"),"مغلقة",IF(NOT(ISNUMBER(E400)),"بلا موعد",IF(E400&lt;'الإعدادات'!$B$4,"متأخرة",IF(E400='الإعدادات'!$B$4,"اليوم","قادمة")))))</f>
        <v/>
      </c>
      <c r="K400" s="19">
        <f>IF(OR(J400="متأخرة",J400="اليوم"),'الإعدادات'!$B$4-E400,"")</f>
        <v/>
      </c>
      <c r="L400" s="19">
        <f>IF(OR(A400&amp;""="",NOT(ISNUMBER(F400))),"",'الإعدادات'!$B$4-F400)</f>
        <v/>
      </c>
      <c r="M400" s="19">
        <f>IF(OR(J400="متأخرة",J400="اليوم"),COUNTIFS($J$6:$J$505,"متأخرة",$E$6:$E$505,"&lt;"&amp;E400)+COUNTIFS($J$6:$J$505,"اليوم",$E$6:$E$505,"&lt;"&amp;E400)+COUNTIFS($E$6:E400,E400&amp;"",$J$6:J400,J400),"")</f>
        <v/>
      </c>
    </row>
    <row r="401">
      <c r="A401" s="5" t="n"/>
      <c r="B401" s="5" t="n"/>
      <c r="C401" s="5" t="n"/>
      <c r="D401" s="16" t="n"/>
      <c r="E401" s="13" t="n"/>
      <c r="F401" s="13" t="n"/>
      <c r="G401" s="5" t="n"/>
      <c r="H401" s="17">
        <f>IF(C401&amp;""="","",IFERROR(VLOOKUP(C401,'الإعدادات'!$A$8:$B$13,2,FALSE),""))</f>
        <v/>
      </c>
      <c r="I401" s="18">
        <f>IF(OR(H401="",NOT(ISNUMBER(D401))),"",ROUND(D401*H401,2))</f>
        <v/>
      </c>
      <c r="J401" s="6">
        <f>IF(A401&amp;""="","",IF(OR(C401="تم",C401="خسارة"),"مغلقة",IF(NOT(ISNUMBER(E401)),"بلا موعد",IF(E401&lt;'الإعدادات'!$B$4,"متأخرة",IF(E401='الإعدادات'!$B$4,"اليوم","قادمة")))))</f>
        <v/>
      </c>
      <c r="K401" s="19">
        <f>IF(OR(J401="متأخرة",J401="اليوم"),'الإعدادات'!$B$4-E401,"")</f>
        <v/>
      </c>
      <c r="L401" s="19">
        <f>IF(OR(A401&amp;""="",NOT(ISNUMBER(F401))),"",'الإعدادات'!$B$4-F401)</f>
        <v/>
      </c>
      <c r="M401" s="19">
        <f>IF(OR(J401="متأخرة",J401="اليوم"),COUNTIFS($J$6:$J$505,"متأخرة",$E$6:$E$505,"&lt;"&amp;E401)+COUNTIFS($J$6:$J$505,"اليوم",$E$6:$E$505,"&lt;"&amp;E401)+COUNTIFS($E$6:E401,E401&amp;"",$J$6:J401,J401),"")</f>
        <v/>
      </c>
    </row>
    <row r="402">
      <c r="A402" s="5" t="n"/>
      <c r="B402" s="5" t="n"/>
      <c r="C402" s="5" t="n"/>
      <c r="D402" s="16" t="n"/>
      <c r="E402" s="13" t="n"/>
      <c r="F402" s="13" t="n"/>
      <c r="G402" s="5" t="n"/>
      <c r="H402" s="17">
        <f>IF(C402&amp;""="","",IFERROR(VLOOKUP(C402,'الإعدادات'!$A$8:$B$13,2,FALSE),""))</f>
        <v/>
      </c>
      <c r="I402" s="18">
        <f>IF(OR(H402="",NOT(ISNUMBER(D402))),"",ROUND(D402*H402,2))</f>
        <v/>
      </c>
      <c r="J402" s="6">
        <f>IF(A402&amp;""="","",IF(OR(C402="تم",C402="خسارة"),"مغلقة",IF(NOT(ISNUMBER(E402)),"بلا موعد",IF(E402&lt;'الإعدادات'!$B$4,"متأخرة",IF(E402='الإعدادات'!$B$4,"اليوم","قادمة")))))</f>
        <v/>
      </c>
      <c r="K402" s="19">
        <f>IF(OR(J402="متأخرة",J402="اليوم"),'الإعدادات'!$B$4-E402,"")</f>
        <v/>
      </c>
      <c r="L402" s="19">
        <f>IF(OR(A402&amp;""="",NOT(ISNUMBER(F402))),"",'الإعدادات'!$B$4-F402)</f>
        <v/>
      </c>
      <c r="M402" s="19">
        <f>IF(OR(J402="متأخرة",J402="اليوم"),COUNTIFS($J$6:$J$505,"متأخرة",$E$6:$E$505,"&lt;"&amp;E402)+COUNTIFS($J$6:$J$505,"اليوم",$E$6:$E$505,"&lt;"&amp;E402)+COUNTIFS($E$6:E402,E402&amp;"",$J$6:J402,J402),"")</f>
        <v/>
      </c>
    </row>
    <row r="403">
      <c r="A403" s="5" t="n"/>
      <c r="B403" s="5" t="n"/>
      <c r="C403" s="5" t="n"/>
      <c r="D403" s="16" t="n"/>
      <c r="E403" s="13" t="n"/>
      <c r="F403" s="13" t="n"/>
      <c r="G403" s="5" t="n"/>
      <c r="H403" s="17">
        <f>IF(C403&amp;""="","",IFERROR(VLOOKUP(C403,'الإعدادات'!$A$8:$B$13,2,FALSE),""))</f>
        <v/>
      </c>
      <c r="I403" s="18">
        <f>IF(OR(H403="",NOT(ISNUMBER(D403))),"",ROUND(D403*H403,2))</f>
        <v/>
      </c>
      <c r="J403" s="6">
        <f>IF(A403&amp;""="","",IF(OR(C403="تم",C403="خسارة"),"مغلقة",IF(NOT(ISNUMBER(E403)),"بلا موعد",IF(E403&lt;'الإعدادات'!$B$4,"متأخرة",IF(E403='الإعدادات'!$B$4,"اليوم","قادمة")))))</f>
        <v/>
      </c>
      <c r="K403" s="19">
        <f>IF(OR(J403="متأخرة",J403="اليوم"),'الإعدادات'!$B$4-E403,"")</f>
        <v/>
      </c>
      <c r="L403" s="19">
        <f>IF(OR(A403&amp;""="",NOT(ISNUMBER(F403))),"",'الإعدادات'!$B$4-F403)</f>
        <v/>
      </c>
      <c r="M403" s="19">
        <f>IF(OR(J403="متأخرة",J403="اليوم"),COUNTIFS($J$6:$J$505,"متأخرة",$E$6:$E$505,"&lt;"&amp;E403)+COUNTIFS($J$6:$J$505,"اليوم",$E$6:$E$505,"&lt;"&amp;E403)+COUNTIFS($E$6:E403,E403&amp;"",$J$6:J403,J403),"")</f>
        <v/>
      </c>
    </row>
    <row r="404">
      <c r="A404" s="5" t="n"/>
      <c r="B404" s="5" t="n"/>
      <c r="C404" s="5" t="n"/>
      <c r="D404" s="16" t="n"/>
      <c r="E404" s="13" t="n"/>
      <c r="F404" s="13" t="n"/>
      <c r="G404" s="5" t="n"/>
      <c r="H404" s="17">
        <f>IF(C404&amp;""="","",IFERROR(VLOOKUP(C404,'الإعدادات'!$A$8:$B$13,2,FALSE),""))</f>
        <v/>
      </c>
      <c r="I404" s="18">
        <f>IF(OR(H404="",NOT(ISNUMBER(D404))),"",ROUND(D404*H404,2))</f>
        <v/>
      </c>
      <c r="J404" s="6">
        <f>IF(A404&amp;""="","",IF(OR(C404="تم",C404="خسارة"),"مغلقة",IF(NOT(ISNUMBER(E404)),"بلا موعد",IF(E404&lt;'الإعدادات'!$B$4,"متأخرة",IF(E404='الإعدادات'!$B$4,"اليوم","قادمة")))))</f>
        <v/>
      </c>
      <c r="K404" s="19">
        <f>IF(OR(J404="متأخرة",J404="اليوم"),'الإعدادات'!$B$4-E404,"")</f>
        <v/>
      </c>
      <c r="L404" s="19">
        <f>IF(OR(A404&amp;""="",NOT(ISNUMBER(F404))),"",'الإعدادات'!$B$4-F404)</f>
        <v/>
      </c>
      <c r="M404" s="19">
        <f>IF(OR(J404="متأخرة",J404="اليوم"),COUNTIFS($J$6:$J$505,"متأخرة",$E$6:$E$505,"&lt;"&amp;E404)+COUNTIFS($J$6:$J$505,"اليوم",$E$6:$E$505,"&lt;"&amp;E404)+COUNTIFS($E$6:E404,E404&amp;"",$J$6:J404,J404),"")</f>
        <v/>
      </c>
    </row>
    <row r="405">
      <c r="A405" s="5" t="n"/>
      <c r="B405" s="5" t="n"/>
      <c r="C405" s="5" t="n"/>
      <c r="D405" s="16" t="n"/>
      <c r="E405" s="13" t="n"/>
      <c r="F405" s="13" t="n"/>
      <c r="G405" s="5" t="n"/>
      <c r="H405" s="17">
        <f>IF(C405&amp;""="","",IFERROR(VLOOKUP(C405,'الإعدادات'!$A$8:$B$13,2,FALSE),""))</f>
        <v/>
      </c>
      <c r="I405" s="18">
        <f>IF(OR(H405="",NOT(ISNUMBER(D405))),"",ROUND(D405*H405,2))</f>
        <v/>
      </c>
      <c r="J405" s="6">
        <f>IF(A405&amp;""="","",IF(OR(C405="تم",C405="خسارة"),"مغلقة",IF(NOT(ISNUMBER(E405)),"بلا موعد",IF(E405&lt;'الإعدادات'!$B$4,"متأخرة",IF(E405='الإعدادات'!$B$4,"اليوم","قادمة")))))</f>
        <v/>
      </c>
      <c r="K405" s="19">
        <f>IF(OR(J405="متأخرة",J405="اليوم"),'الإعدادات'!$B$4-E405,"")</f>
        <v/>
      </c>
      <c r="L405" s="19">
        <f>IF(OR(A405&amp;""="",NOT(ISNUMBER(F405))),"",'الإعدادات'!$B$4-F405)</f>
        <v/>
      </c>
      <c r="M405" s="19">
        <f>IF(OR(J405="متأخرة",J405="اليوم"),COUNTIFS($J$6:$J$505,"متأخرة",$E$6:$E$505,"&lt;"&amp;E405)+COUNTIFS($J$6:$J$505,"اليوم",$E$6:$E$505,"&lt;"&amp;E405)+COUNTIFS($E$6:E405,E405&amp;"",$J$6:J405,J405),"")</f>
        <v/>
      </c>
    </row>
    <row r="406">
      <c r="A406" s="5" t="n"/>
      <c r="B406" s="5" t="n"/>
      <c r="C406" s="5" t="n"/>
      <c r="D406" s="16" t="n"/>
      <c r="E406" s="13" t="n"/>
      <c r="F406" s="13" t="n"/>
      <c r="G406" s="5" t="n"/>
      <c r="H406" s="17">
        <f>IF(C406&amp;""="","",IFERROR(VLOOKUP(C406,'الإعدادات'!$A$8:$B$13,2,FALSE),""))</f>
        <v/>
      </c>
      <c r="I406" s="18">
        <f>IF(OR(H406="",NOT(ISNUMBER(D406))),"",ROUND(D406*H406,2))</f>
        <v/>
      </c>
      <c r="J406" s="6">
        <f>IF(A406&amp;""="","",IF(OR(C406="تم",C406="خسارة"),"مغلقة",IF(NOT(ISNUMBER(E406)),"بلا موعد",IF(E406&lt;'الإعدادات'!$B$4,"متأخرة",IF(E406='الإعدادات'!$B$4,"اليوم","قادمة")))))</f>
        <v/>
      </c>
      <c r="K406" s="19">
        <f>IF(OR(J406="متأخرة",J406="اليوم"),'الإعدادات'!$B$4-E406,"")</f>
        <v/>
      </c>
      <c r="L406" s="19">
        <f>IF(OR(A406&amp;""="",NOT(ISNUMBER(F406))),"",'الإعدادات'!$B$4-F406)</f>
        <v/>
      </c>
      <c r="M406" s="19">
        <f>IF(OR(J406="متأخرة",J406="اليوم"),COUNTIFS($J$6:$J$505,"متأخرة",$E$6:$E$505,"&lt;"&amp;E406)+COUNTIFS($J$6:$J$505,"اليوم",$E$6:$E$505,"&lt;"&amp;E406)+COUNTIFS($E$6:E406,E406&amp;"",$J$6:J406,J406),"")</f>
        <v/>
      </c>
    </row>
    <row r="407">
      <c r="A407" s="5" t="n"/>
      <c r="B407" s="5" t="n"/>
      <c r="C407" s="5" t="n"/>
      <c r="D407" s="16" t="n"/>
      <c r="E407" s="13" t="n"/>
      <c r="F407" s="13" t="n"/>
      <c r="G407" s="5" t="n"/>
      <c r="H407" s="17">
        <f>IF(C407&amp;""="","",IFERROR(VLOOKUP(C407,'الإعدادات'!$A$8:$B$13,2,FALSE),""))</f>
        <v/>
      </c>
      <c r="I407" s="18">
        <f>IF(OR(H407="",NOT(ISNUMBER(D407))),"",ROUND(D407*H407,2))</f>
        <v/>
      </c>
      <c r="J407" s="6">
        <f>IF(A407&amp;""="","",IF(OR(C407="تم",C407="خسارة"),"مغلقة",IF(NOT(ISNUMBER(E407)),"بلا موعد",IF(E407&lt;'الإعدادات'!$B$4,"متأخرة",IF(E407='الإعدادات'!$B$4,"اليوم","قادمة")))))</f>
        <v/>
      </c>
      <c r="K407" s="19">
        <f>IF(OR(J407="متأخرة",J407="اليوم"),'الإعدادات'!$B$4-E407,"")</f>
        <v/>
      </c>
      <c r="L407" s="19">
        <f>IF(OR(A407&amp;""="",NOT(ISNUMBER(F407))),"",'الإعدادات'!$B$4-F407)</f>
        <v/>
      </c>
      <c r="M407" s="19">
        <f>IF(OR(J407="متأخرة",J407="اليوم"),COUNTIFS($J$6:$J$505,"متأخرة",$E$6:$E$505,"&lt;"&amp;E407)+COUNTIFS($J$6:$J$505,"اليوم",$E$6:$E$505,"&lt;"&amp;E407)+COUNTIFS($E$6:E407,E407&amp;"",$J$6:J407,J407),"")</f>
        <v/>
      </c>
    </row>
    <row r="408">
      <c r="A408" s="5" t="n"/>
      <c r="B408" s="5" t="n"/>
      <c r="C408" s="5" t="n"/>
      <c r="D408" s="16" t="n"/>
      <c r="E408" s="13" t="n"/>
      <c r="F408" s="13" t="n"/>
      <c r="G408" s="5" t="n"/>
      <c r="H408" s="17">
        <f>IF(C408&amp;""="","",IFERROR(VLOOKUP(C408,'الإعدادات'!$A$8:$B$13,2,FALSE),""))</f>
        <v/>
      </c>
      <c r="I408" s="18">
        <f>IF(OR(H408="",NOT(ISNUMBER(D408))),"",ROUND(D408*H408,2))</f>
        <v/>
      </c>
      <c r="J408" s="6">
        <f>IF(A408&amp;""="","",IF(OR(C408="تم",C408="خسارة"),"مغلقة",IF(NOT(ISNUMBER(E408)),"بلا موعد",IF(E408&lt;'الإعدادات'!$B$4,"متأخرة",IF(E408='الإعدادات'!$B$4,"اليوم","قادمة")))))</f>
        <v/>
      </c>
      <c r="K408" s="19">
        <f>IF(OR(J408="متأخرة",J408="اليوم"),'الإعدادات'!$B$4-E408,"")</f>
        <v/>
      </c>
      <c r="L408" s="19">
        <f>IF(OR(A408&amp;""="",NOT(ISNUMBER(F408))),"",'الإعدادات'!$B$4-F408)</f>
        <v/>
      </c>
      <c r="M408" s="19">
        <f>IF(OR(J408="متأخرة",J408="اليوم"),COUNTIFS($J$6:$J$505,"متأخرة",$E$6:$E$505,"&lt;"&amp;E408)+COUNTIFS($J$6:$J$505,"اليوم",$E$6:$E$505,"&lt;"&amp;E408)+COUNTIFS($E$6:E408,E408&amp;"",$J$6:J408,J408),"")</f>
        <v/>
      </c>
    </row>
    <row r="409">
      <c r="A409" s="5" t="n"/>
      <c r="B409" s="5" t="n"/>
      <c r="C409" s="5" t="n"/>
      <c r="D409" s="16" t="n"/>
      <c r="E409" s="13" t="n"/>
      <c r="F409" s="13" t="n"/>
      <c r="G409" s="5" t="n"/>
      <c r="H409" s="17">
        <f>IF(C409&amp;""="","",IFERROR(VLOOKUP(C409,'الإعدادات'!$A$8:$B$13,2,FALSE),""))</f>
        <v/>
      </c>
      <c r="I409" s="18">
        <f>IF(OR(H409="",NOT(ISNUMBER(D409))),"",ROUND(D409*H409,2))</f>
        <v/>
      </c>
      <c r="J409" s="6">
        <f>IF(A409&amp;""="","",IF(OR(C409="تم",C409="خسارة"),"مغلقة",IF(NOT(ISNUMBER(E409)),"بلا موعد",IF(E409&lt;'الإعدادات'!$B$4,"متأخرة",IF(E409='الإعدادات'!$B$4,"اليوم","قادمة")))))</f>
        <v/>
      </c>
      <c r="K409" s="19">
        <f>IF(OR(J409="متأخرة",J409="اليوم"),'الإعدادات'!$B$4-E409,"")</f>
        <v/>
      </c>
      <c r="L409" s="19">
        <f>IF(OR(A409&amp;""="",NOT(ISNUMBER(F409))),"",'الإعدادات'!$B$4-F409)</f>
        <v/>
      </c>
      <c r="M409" s="19">
        <f>IF(OR(J409="متأخرة",J409="اليوم"),COUNTIFS($J$6:$J$505,"متأخرة",$E$6:$E$505,"&lt;"&amp;E409)+COUNTIFS($J$6:$J$505,"اليوم",$E$6:$E$505,"&lt;"&amp;E409)+COUNTIFS($E$6:E409,E409&amp;"",$J$6:J409,J409),"")</f>
        <v/>
      </c>
    </row>
    <row r="410">
      <c r="A410" s="5" t="n"/>
      <c r="B410" s="5" t="n"/>
      <c r="C410" s="5" t="n"/>
      <c r="D410" s="16" t="n"/>
      <c r="E410" s="13" t="n"/>
      <c r="F410" s="13" t="n"/>
      <c r="G410" s="5" t="n"/>
      <c r="H410" s="17">
        <f>IF(C410&amp;""="","",IFERROR(VLOOKUP(C410,'الإعدادات'!$A$8:$B$13,2,FALSE),""))</f>
        <v/>
      </c>
      <c r="I410" s="18">
        <f>IF(OR(H410="",NOT(ISNUMBER(D410))),"",ROUND(D410*H410,2))</f>
        <v/>
      </c>
      <c r="J410" s="6">
        <f>IF(A410&amp;""="","",IF(OR(C410="تم",C410="خسارة"),"مغلقة",IF(NOT(ISNUMBER(E410)),"بلا موعد",IF(E410&lt;'الإعدادات'!$B$4,"متأخرة",IF(E410='الإعدادات'!$B$4,"اليوم","قادمة")))))</f>
        <v/>
      </c>
      <c r="K410" s="19">
        <f>IF(OR(J410="متأخرة",J410="اليوم"),'الإعدادات'!$B$4-E410,"")</f>
        <v/>
      </c>
      <c r="L410" s="19">
        <f>IF(OR(A410&amp;""="",NOT(ISNUMBER(F410))),"",'الإعدادات'!$B$4-F410)</f>
        <v/>
      </c>
      <c r="M410" s="19">
        <f>IF(OR(J410="متأخرة",J410="اليوم"),COUNTIFS($J$6:$J$505,"متأخرة",$E$6:$E$505,"&lt;"&amp;E410)+COUNTIFS($J$6:$J$505,"اليوم",$E$6:$E$505,"&lt;"&amp;E410)+COUNTIFS($E$6:E410,E410&amp;"",$J$6:J410,J410),"")</f>
        <v/>
      </c>
    </row>
    <row r="411">
      <c r="A411" s="5" t="n"/>
      <c r="B411" s="5" t="n"/>
      <c r="C411" s="5" t="n"/>
      <c r="D411" s="16" t="n"/>
      <c r="E411" s="13" t="n"/>
      <c r="F411" s="13" t="n"/>
      <c r="G411" s="5" t="n"/>
      <c r="H411" s="17">
        <f>IF(C411&amp;""="","",IFERROR(VLOOKUP(C411,'الإعدادات'!$A$8:$B$13,2,FALSE),""))</f>
        <v/>
      </c>
      <c r="I411" s="18">
        <f>IF(OR(H411="",NOT(ISNUMBER(D411))),"",ROUND(D411*H411,2))</f>
        <v/>
      </c>
      <c r="J411" s="6">
        <f>IF(A411&amp;""="","",IF(OR(C411="تم",C411="خسارة"),"مغلقة",IF(NOT(ISNUMBER(E411)),"بلا موعد",IF(E411&lt;'الإعدادات'!$B$4,"متأخرة",IF(E411='الإعدادات'!$B$4,"اليوم","قادمة")))))</f>
        <v/>
      </c>
      <c r="K411" s="19">
        <f>IF(OR(J411="متأخرة",J411="اليوم"),'الإعدادات'!$B$4-E411,"")</f>
        <v/>
      </c>
      <c r="L411" s="19">
        <f>IF(OR(A411&amp;""="",NOT(ISNUMBER(F411))),"",'الإعدادات'!$B$4-F411)</f>
        <v/>
      </c>
      <c r="M411" s="19">
        <f>IF(OR(J411="متأخرة",J411="اليوم"),COUNTIFS($J$6:$J$505,"متأخرة",$E$6:$E$505,"&lt;"&amp;E411)+COUNTIFS($J$6:$J$505,"اليوم",$E$6:$E$505,"&lt;"&amp;E411)+COUNTIFS($E$6:E411,E411&amp;"",$J$6:J411,J411),"")</f>
        <v/>
      </c>
    </row>
    <row r="412">
      <c r="A412" s="5" t="n"/>
      <c r="B412" s="5" t="n"/>
      <c r="C412" s="5" t="n"/>
      <c r="D412" s="16" t="n"/>
      <c r="E412" s="13" t="n"/>
      <c r="F412" s="13" t="n"/>
      <c r="G412" s="5" t="n"/>
      <c r="H412" s="17">
        <f>IF(C412&amp;""="","",IFERROR(VLOOKUP(C412,'الإعدادات'!$A$8:$B$13,2,FALSE),""))</f>
        <v/>
      </c>
      <c r="I412" s="18">
        <f>IF(OR(H412="",NOT(ISNUMBER(D412))),"",ROUND(D412*H412,2))</f>
        <v/>
      </c>
      <c r="J412" s="6">
        <f>IF(A412&amp;""="","",IF(OR(C412="تم",C412="خسارة"),"مغلقة",IF(NOT(ISNUMBER(E412)),"بلا موعد",IF(E412&lt;'الإعدادات'!$B$4,"متأخرة",IF(E412='الإعدادات'!$B$4,"اليوم","قادمة")))))</f>
        <v/>
      </c>
      <c r="K412" s="19">
        <f>IF(OR(J412="متأخرة",J412="اليوم"),'الإعدادات'!$B$4-E412,"")</f>
        <v/>
      </c>
      <c r="L412" s="19">
        <f>IF(OR(A412&amp;""="",NOT(ISNUMBER(F412))),"",'الإعدادات'!$B$4-F412)</f>
        <v/>
      </c>
      <c r="M412" s="19">
        <f>IF(OR(J412="متأخرة",J412="اليوم"),COUNTIFS($J$6:$J$505,"متأخرة",$E$6:$E$505,"&lt;"&amp;E412)+COUNTIFS($J$6:$J$505,"اليوم",$E$6:$E$505,"&lt;"&amp;E412)+COUNTIFS($E$6:E412,E412&amp;"",$J$6:J412,J412),"")</f>
        <v/>
      </c>
    </row>
    <row r="413">
      <c r="A413" s="5" t="n"/>
      <c r="B413" s="5" t="n"/>
      <c r="C413" s="5" t="n"/>
      <c r="D413" s="16" t="n"/>
      <c r="E413" s="13" t="n"/>
      <c r="F413" s="13" t="n"/>
      <c r="G413" s="5" t="n"/>
      <c r="H413" s="17">
        <f>IF(C413&amp;""="","",IFERROR(VLOOKUP(C413,'الإعدادات'!$A$8:$B$13,2,FALSE),""))</f>
        <v/>
      </c>
      <c r="I413" s="18">
        <f>IF(OR(H413="",NOT(ISNUMBER(D413))),"",ROUND(D413*H413,2))</f>
        <v/>
      </c>
      <c r="J413" s="6">
        <f>IF(A413&amp;""="","",IF(OR(C413="تم",C413="خسارة"),"مغلقة",IF(NOT(ISNUMBER(E413)),"بلا موعد",IF(E413&lt;'الإعدادات'!$B$4,"متأخرة",IF(E413='الإعدادات'!$B$4,"اليوم","قادمة")))))</f>
        <v/>
      </c>
      <c r="K413" s="19">
        <f>IF(OR(J413="متأخرة",J413="اليوم"),'الإعدادات'!$B$4-E413,"")</f>
        <v/>
      </c>
      <c r="L413" s="19">
        <f>IF(OR(A413&amp;""="",NOT(ISNUMBER(F413))),"",'الإعدادات'!$B$4-F413)</f>
        <v/>
      </c>
      <c r="M413" s="19">
        <f>IF(OR(J413="متأخرة",J413="اليوم"),COUNTIFS($J$6:$J$505,"متأخرة",$E$6:$E$505,"&lt;"&amp;E413)+COUNTIFS($J$6:$J$505,"اليوم",$E$6:$E$505,"&lt;"&amp;E413)+COUNTIFS($E$6:E413,E413&amp;"",$J$6:J413,J413),"")</f>
        <v/>
      </c>
    </row>
    <row r="414">
      <c r="A414" s="5" t="n"/>
      <c r="B414" s="5" t="n"/>
      <c r="C414" s="5" t="n"/>
      <c r="D414" s="16" t="n"/>
      <c r="E414" s="13" t="n"/>
      <c r="F414" s="13" t="n"/>
      <c r="G414" s="5" t="n"/>
      <c r="H414" s="17">
        <f>IF(C414&amp;""="","",IFERROR(VLOOKUP(C414,'الإعدادات'!$A$8:$B$13,2,FALSE),""))</f>
        <v/>
      </c>
      <c r="I414" s="18">
        <f>IF(OR(H414="",NOT(ISNUMBER(D414))),"",ROUND(D414*H414,2))</f>
        <v/>
      </c>
      <c r="J414" s="6">
        <f>IF(A414&amp;""="","",IF(OR(C414="تم",C414="خسارة"),"مغلقة",IF(NOT(ISNUMBER(E414)),"بلا موعد",IF(E414&lt;'الإعدادات'!$B$4,"متأخرة",IF(E414='الإعدادات'!$B$4,"اليوم","قادمة")))))</f>
        <v/>
      </c>
      <c r="K414" s="19">
        <f>IF(OR(J414="متأخرة",J414="اليوم"),'الإعدادات'!$B$4-E414,"")</f>
        <v/>
      </c>
      <c r="L414" s="19">
        <f>IF(OR(A414&amp;""="",NOT(ISNUMBER(F414))),"",'الإعدادات'!$B$4-F414)</f>
        <v/>
      </c>
      <c r="M414" s="19">
        <f>IF(OR(J414="متأخرة",J414="اليوم"),COUNTIFS($J$6:$J$505,"متأخرة",$E$6:$E$505,"&lt;"&amp;E414)+COUNTIFS($J$6:$J$505,"اليوم",$E$6:$E$505,"&lt;"&amp;E414)+COUNTIFS($E$6:E414,E414&amp;"",$J$6:J414,J414),"")</f>
        <v/>
      </c>
    </row>
    <row r="415">
      <c r="A415" s="5" t="n"/>
      <c r="B415" s="5" t="n"/>
      <c r="C415" s="5" t="n"/>
      <c r="D415" s="16" t="n"/>
      <c r="E415" s="13" t="n"/>
      <c r="F415" s="13" t="n"/>
      <c r="G415" s="5" t="n"/>
      <c r="H415" s="17">
        <f>IF(C415&amp;""="","",IFERROR(VLOOKUP(C415,'الإعدادات'!$A$8:$B$13,2,FALSE),""))</f>
        <v/>
      </c>
      <c r="I415" s="18">
        <f>IF(OR(H415="",NOT(ISNUMBER(D415))),"",ROUND(D415*H415,2))</f>
        <v/>
      </c>
      <c r="J415" s="6">
        <f>IF(A415&amp;""="","",IF(OR(C415="تم",C415="خسارة"),"مغلقة",IF(NOT(ISNUMBER(E415)),"بلا موعد",IF(E415&lt;'الإعدادات'!$B$4,"متأخرة",IF(E415='الإعدادات'!$B$4,"اليوم","قادمة")))))</f>
        <v/>
      </c>
      <c r="K415" s="19">
        <f>IF(OR(J415="متأخرة",J415="اليوم"),'الإعدادات'!$B$4-E415,"")</f>
        <v/>
      </c>
      <c r="L415" s="19">
        <f>IF(OR(A415&amp;""="",NOT(ISNUMBER(F415))),"",'الإعدادات'!$B$4-F415)</f>
        <v/>
      </c>
      <c r="M415" s="19">
        <f>IF(OR(J415="متأخرة",J415="اليوم"),COUNTIFS($J$6:$J$505,"متأخرة",$E$6:$E$505,"&lt;"&amp;E415)+COUNTIFS($J$6:$J$505,"اليوم",$E$6:$E$505,"&lt;"&amp;E415)+COUNTIFS($E$6:E415,E415&amp;"",$J$6:J415,J415),"")</f>
        <v/>
      </c>
    </row>
    <row r="416">
      <c r="A416" s="5" t="n"/>
      <c r="B416" s="5" t="n"/>
      <c r="C416" s="5" t="n"/>
      <c r="D416" s="16" t="n"/>
      <c r="E416" s="13" t="n"/>
      <c r="F416" s="13" t="n"/>
      <c r="G416" s="5" t="n"/>
      <c r="H416" s="17">
        <f>IF(C416&amp;""="","",IFERROR(VLOOKUP(C416,'الإعدادات'!$A$8:$B$13,2,FALSE),""))</f>
        <v/>
      </c>
      <c r="I416" s="18">
        <f>IF(OR(H416="",NOT(ISNUMBER(D416))),"",ROUND(D416*H416,2))</f>
        <v/>
      </c>
      <c r="J416" s="6">
        <f>IF(A416&amp;""="","",IF(OR(C416="تم",C416="خسارة"),"مغلقة",IF(NOT(ISNUMBER(E416)),"بلا موعد",IF(E416&lt;'الإعدادات'!$B$4,"متأخرة",IF(E416='الإعدادات'!$B$4,"اليوم","قادمة")))))</f>
        <v/>
      </c>
      <c r="K416" s="19">
        <f>IF(OR(J416="متأخرة",J416="اليوم"),'الإعدادات'!$B$4-E416,"")</f>
        <v/>
      </c>
      <c r="L416" s="19">
        <f>IF(OR(A416&amp;""="",NOT(ISNUMBER(F416))),"",'الإعدادات'!$B$4-F416)</f>
        <v/>
      </c>
      <c r="M416" s="19">
        <f>IF(OR(J416="متأخرة",J416="اليوم"),COUNTIFS($J$6:$J$505,"متأخرة",$E$6:$E$505,"&lt;"&amp;E416)+COUNTIFS($J$6:$J$505,"اليوم",$E$6:$E$505,"&lt;"&amp;E416)+COUNTIFS($E$6:E416,E416&amp;"",$J$6:J416,J416),"")</f>
        <v/>
      </c>
    </row>
    <row r="417">
      <c r="A417" s="5" t="n"/>
      <c r="B417" s="5" t="n"/>
      <c r="C417" s="5" t="n"/>
      <c r="D417" s="16" t="n"/>
      <c r="E417" s="13" t="n"/>
      <c r="F417" s="13" t="n"/>
      <c r="G417" s="5" t="n"/>
      <c r="H417" s="17">
        <f>IF(C417&amp;""="","",IFERROR(VLOOKUP(C417,'الإعدادات'!$A$8:$B$13,2,FALSE),""))</f>
        <v/>
      </c>
      <c r="I417" s="18">
        <f>IF(OR(H417="",NOT(ISNUMBER(D417))),"",ROUND(D417*H417,2))</f>
        <v/>
      </c>
      <c r="J417" s="6">
        <f>IF(A417&amp;""="","",IF(OR(C417="تم",C417="خسارة"),"مغلقة",IF(NOT(ISNUMBER(E417)),"بلا موعد",IF(E417&lt;'الإعدادات'!$B$4,"متأخرة",IF(E417='الإعدادات'!$B$4,"اليوم","قادمة")))))</f>
        <v/>
      </c>
      <c r="K417" s="19">
        <f>IF(OR(J417="متأخرة",J417="اليوم"),'الإعدادات'!$B$4-E417,"")</f>
        <v/>
      </c>
      <c r="L417" s="19">
        <f>IF(OR(A417&amp;""="",NOT(ISNUMBER(F417))),"",'الإعدادات'!$B$4-F417)</f>
        <v/>
      </c>
      <c r="M417" s="19">
        <f>IF(OR(J417="متأخرة",J417="اليوم"),COUNTIFS($J$6:$J$505,"متأخرة",$E$6:$E$505,"&lt;"&amp;E417)+COUNTIFS($J$6:$J$505,"اليوم",$E$6:$E$505,"&lt;"&amp;E417)+COUNTIFS($E$6:E417,E417&amp;"",$J$6:J417,J417),"")</f>
        <v/>
      </c>
    </row>
    <row r="418">
      <c r="A418" s="5" t="n"/>
      <c r="B418" s="5" t="n"/>
      <c r="C418" s="5" t="n"/>
      <c r="D418" s="16" t="n"/>
      <c r="E418" s="13" t="n"/>
      <c r="F418" s="13" t="n"/>
      <c r="G418" s="5" t="n"/>
      <c r="H418" s="17">
        <f>IF(C418&amp;""="","",IFERROR(VLOOKUP(C418,'الإعدادات'!$A$8:$B$13,2,FALSE),""))</f>
        <v/>
      </c>
      <c r="I418" s="18">
        <f>IF(OR(H418="",NOT(ISNUMBER(D418))),"",ROUND(D418*H418,2))</f>
        <v/>
      </c>
      <c r="J418" s="6">
        <f>IF(A418&amp;""="","",IF(OR(C418="تم",C418="خسارة"),"مغلقة",IF(NOT(ISNUMBER(E418)),"بلا موعد",IF(E418&lt;'الإعدادات'!$B$4,"متأخرة",IF(E418='الإعدادات'!$B$4,"اليوم","قادمة")))))</f>
        <v/>
      </c>
      <c r="K418" s="19">
        <f>IF(OR(J418="متأخرة",J418="اليوم"),'الإعدادات'!$B$4-E418,"")</f>
        <v/>
      </c>
      <c r="L418" s="19">
        <f>IF(OR(A418&amp;""="",NOT(ISNUMBER(F418))),"",'الإعدادات'!$B$4-F418)</f>
        <v/>
      </c>
      <c r="M418" s="19">
        <f>IF(OR(J418="متأخرة",J418="اليوم"),COUNTIFS($J$6:$J$505,"متأخرة",$E$6:$E$505,"&lt;"&amp;E418)+COUNTIFS($J$6:$J$505,"اليوم",$E$6:$E$505,"&lt;"&amp;E418)+COUNTIFS($E$6:E418,E418&amp;"",$J$6:J418,J418),"")</f>
        <v/>
      </c>
    </row>
    <row r="419">
      <c r="A419" s="5" t="n"/>
      <c r="B419" s="5" t="n"/>
      <c r="C419" s="5" t="n"/>
      <c r="D419" s="16" t="n"/>
      <c r="E419" s="13" t="n"/>
      <c r="F419" s="13" t="n"/>
      <c r="G419" s="5" t="n"/>
      <c r="H419" s="17">
        <f>IF(C419&amp;""="","",IFERROR(VLOOKUP(C419,'الإعدادات'!$A$8:$B$13,2,FALSE),""))</f>
        <v/>
      </c>
      <c r="I419" s="18">
        <f>IF(OR(H419="",NOT(ISNUMBER(D419))),"",ROUND(D419*H419,2))</f>
        <v/>
      </c>
      <c r="J419" s="6">
        <f>IF(A419&amp;""="","",IF(OR(C419="تم",C419="خسارة"),"مغلقة",IF(NOT(ISNUMBER(E419)),"بلا موعد",IF(E419&lt;'الإعدادات'!$B$4,"متأخرة",IF(E419='الإعدادات'!$B$4,"اليوم","قادمة")))))</f>
        <v/>
      </c>
      <c r="K419" s="19">
        <f>IF(OR(J419="متأخرة",J419="اليوم"),'الإعدادات'!$B$4-E419,"")</f>
        <v/>
      </c>
      <c r="L419" s="19">
        <f>IF(OR(A419&amp;""="",NOT(ISNUMBER(F419))),"",'الإعدادات'!$B$4-F419)</f>
        <v/>
      </c>
      <c r="M419" s="19">
        <f>IF(OR(J419="متأخرة",J419="اليوم"),COUNTIFS($J$6:$J$505,"متأخرة",$E$6:$E$505,"&lt;"&amp;E419)+COUNTIFS($J$6:$J$505,"اليوم",$E$6:$E$505,"&lt;"&amp;E419)+COUNTIFS($E$6:E419,E419&amp;"",$J$6:J419,J419),"")</f>
        <v/>
      </c>
    </row>
    <row r="420">
      <c r="A420" s="5" t="n"/>
      <c r="B420" s="5" t="n"/>
      <c r="C420" s="5" t="n"/>
      <c r="D420" s="16" t="n"/>
      <c r="E420" s="13" t="n"/>
      <c r="F420" s="13" t="n"/>
      <c r="G420" s="5" t="n"/>
      <c r="H420" s="17">
        <f>IF(C420&amp;""="","",IFERROR(VLOOKUP(C420,'الإعدادات'!$A$8:$B$13,2,FALSE),""))</f>
        <v/>
      </c>
      <c r="I420" s="18">
        <f>IF(OR(H420="",NOT(ISNUMBER(D420))),"",ROUND(D420*H420,2))</f>
        <v/>
      </c>
      <c r="J420" s="6">
        <f>IF(A420&amp;""="","",IF(OR(C420="تم",C420="خسارة"),"مغلقة",IF(NOT(ISNUMBER(E420)),"بلا موعد",IF(E420&lt;'الإعدادات'!$B$4,"متأخرة",IF(E420='الإعدادات'!$B$4,"اليوم","قادمة")))))</f>
        <v/>
      </c>
      <c r="K420" s="19">
        <f>IF(OR(J420="متأخرة",J420="اليوم"),'الإعدادات'!$B$4-E420,"")</f>
        <v/>
      </c>
      <c r="L420" s="19">
        <f>IF(OR(A420&amp;""="",NOT(ISNUMBER(F420))),"",'الإعدادات'!$B$4-F420)</f>
        <v/>
      </c>
      <c r="M420" s="19">
        <f>IF(OR(J420="متأخرة",J420="اليوم"),COUNTIFS($J$6:$J$505,"متأخرة",$E$6:$E$505,"&lt;"&amp;E420)+COUNTIFS($J$6:$J$505,"اليوم",$E$6:$E$505,"&lt;"&amp;E420)+COUNTIFS($E$6:E420,E420&amp;"",$J$6:J420,J420),"")</f>
        <v/>
      </c>
    </row>
    <row r="421">
      <c r="A421" s="5" t="n"/>
      <c r="B421" s="5" t="n"/>
      <c r="C421" s="5" t="n"/>
      <c r="D421" s="16" t="n"/>
      <c r="E421" s="13" t="n"/>
      <c r="F421" s="13" t="n"/>
      <c r="G421" s="5" t="n"/>
      <c r="H421" s="17">
        <f>IF(C421&amp;""="","",IFERROR(VLOOKUP(C421,'الإعدادات'!$A$8:$B$13,2,FALSE),""))</f>
        <v/>
      </c>
      <c r="I421" s="18">
        <f>IF(OR(H421="",NOT(ISNUMBER(D421))),"",ROUND(D421*H421,2))</f>
        <v/>
      </c>
      <c r="J421" s="6">
        <f>IF(A421&amp;""="","",IF(OR(C421="تم",C421="خسارة"),"مغلقة",IF(NOT(ISNUMBER(E421)),"بلا موعد",IF(E421&lt;'الإعدادات'!$B$4,"متأخرة",IF(E421='الإعدادات'!$B$4,"اليوم","قادمة")))))</f>
        <v/>
      </c>
      <c r="K421" s="19">
        <f>IF(OR(J421="متأخرة",J421="اليوم"),'الإعدادات'!$B$4-E421,"")</f>
        <v/>
      </c>
      <c r="L421" s="19">
        <f>IF(OR(A421&amp;""="",NOT(ISNUMBER(F421))),"",'الإعدادات'!$B$4-F421)</f>
        <v/>
      </c>
      <c r="M421" s="19">
        <f>IF(OR(J421="متأخرة",J421="اليوم"),COUNTIFS($J$6:$J$505,"متأخرة",$E$6:$E$505,"&lt;"&amp;E421)+COUNTIFS($J$6:$J$505,"اليوم",$E$6:$E$505,"&lt;"&amp;E421)+COUNTIFS($E$6:E421,E421&amp;"",$J$6:J421,J421),"")</f>
        <v/>
      </c>
    </row>
    <row r="422">
      <c r="A422" s="5" t="n"/>
      <c r="B422" s="5" t="n"/>
      <c r="C422" s="5" t="n"/>
      <c r="D422" s="16" t="n"/>
      <c r="E422" s="13" t="n"/>
      <c r="F422" s="13" t="n"/>
      <c r="G422" s="5" t="n"/>
      <c r="H422" s="17">
        <f>IF(C422&amp;""="","",IFERROR(VLOOKUP(C422,'الإعدادات'!$A$8:$B$13,2,FALSE),""))</f>
        <v/>
      </c>
      <c r="I422" s="18">
        <f>IF(OR(H422="",NOT(ISNUMBER(D422))),"",ROUND(D422*H422,2))</f>
        <v/>
      </c>
      <c r="J422" s="6">
        <f>IF(A422&amp;""="","",IF(OR(C422="تم",C422="خسارة"),"مغلقة",IF(NOT(ISNUMBER(E422)),"بلا موعد",IF(E422&lt;'الإعدادات'!$B$4,"متأخرة",IF(E422='الإعدادات'!$B$4,"اليوم","قادمة")))))</f>
        <v/>
      </c>
      <c r="K422" s="19">
        <f>IF(OR(J422="متأخرة",J422="اليوم"),'الإعدادات'!$B$4-E422,"")</f>
        <v/>
      </c>
      <c r="L422" s="19">
        <f>IF(OR(A422&amp;""="",NOT(ISNUMBER(F422))),"",'الإعدادات'!$B$4-F422)</f>
        <v/>
      </c>
      <c r="M422" s="19">
        <f>IF(OR(J422="متأخرة",J422="اليوم"),COUNTIFS($J$6:$J$505,"متأخرة",$E$6:$E$505,"&lt;"&amp;E422)+COUNTIFS($J$6:$J$505,"اليوم",$E$6:$E$505,"&lt;"&amp;E422)+COUNTIFS($E$6:E422,E422&amp;"",$J$6:J422,J422),"")</f>
        <v/>
      </c>
    </row>
    <row r="423">
      <c r="A423" s="5" t="n"/>
      <c r="B423" s="5" t="n"/>
      <c r="C423" s="5" t="n"/>
      <c r="D423" s="16" t="n"/>
      <c r="E423" s="13" t="n"/>
      <c r="F423" s="13" t="n"/>
      <c r="G423" s="5" t="n"/>
      <c r="H423" s="17">
        <f>IF(C423&amp;""="","",IFERROR(VLOOKUP(C423,'الإعدادات'!$A$8:$B$13,2,FALSE),""))</f>
        <v/>
      </c>
      <c r="I423" s="18">
        <f>IF(OR(H423="",NOT(ISNUMBER(D423))),"",ROUND(D423*H423,2))</f>
        <v/>
      </c>
      <c r="J423" s="6">
        <f>IF(A423&amp;""="","",IF(OR(C423="تم",C423="خسارة"),"مغلقة",IF(NOT(ISNUMBER(E423)),"بلا موعد",IF(E423&lt;'الإعدادات'!$B$4,"متأخرة",IF(E423='الإعدادات'!$B$4,"اليوم","قادمة")))))</f>
        <v/>
      </c>
      <c r="K423" s="19">
        <f>IF(OR(J423="متأخرة",J423="اليوم"),'الإعدادات'!$B$4-E423,"")</f>
        <v/>
      </c>
      <c r="L423" s="19">
        <f>IF(OR(A423&amp;""="",NOT(ISNUMBER(F423))),"",'الإعدادات'!$B$4-F423)</f>
        <v/>
      </c>
      <c r="M423" s="19">
        <f>IF(OR(J423="متأخرة",J423="اليوم"),COUNTIFS($J$6:$J$505,"متأخرة",$E$6:$E$505,"&lt;"&amp;E423)+COUNTIFS($J$6:$J$505,"اليوم",$E$6:$E$505,"&lt;"&amp;E423)+COUNTIFS($E$6:E423,E423&amp;"",$J$6:J423,J423),"")</f>
        <v/>
      </c>
    </row>
    <row r="424">
      <c r="A424" s="5" t="n"/>
      <c r="B424" s="5" t="n"/>
      <c r="C424" s="5" t="n"/>
      <c r="D424" s="16" t="n"/>
      <c r="E424" s="13" t="n"/>
      <c r="F424" s="13" t="n"/>
      <c r="G424" s="5" t="n"/>
      <c r="H424" s="17">
        <f>IF(C424&amp;""="","",IFERROR(VLOOKUP(C424,'الإعدادات'!$A$8:$B$13,2,FALSE),""))</f>
        <v/>
      </c>
      <c r="I424" s="18">
        <f>IF(OR(H424="",NOT(ISNUMBER(D424))),"",ROUND(D424*H424,2))</f>
        <v/>
      </c>
      <c r="J424" s="6">
        <f>IF(A424&amp;""="","",IF(OR(C424="تم",C424="خسارة"),"مغلقة",IF(NOT(ISNUMBER(E424)),"بلا موعد",IF(E424&lt;'الإعدادات'!$B$4,"متأخرة",IF(E424='الإعدادات'!$B$4,"اليوم","قادمة")))))</f>
        <v/>
      </c>
      <c r="K424" s="19">
        <f>IF(OR(J424="متأخرة",J424="اليوم"),'الإعدادات'!$B$4-E424,"")</f>
        <v/>
      </c>
      <c r="L424" s="19">
        <f>IF(OR(A424&amp;""="",NOT(ISNUMBER(F424))),"",'الإعدادات'!$B$4-F424)</f>
        <v/>
      </c>
      <c r="M424" s="19">
        <f>IF(OR(J424="متأخرة",J424="اليوم"),COUNTIFS($J$6:$J$505,"متأخرة",$E$6:$E$505,"&lt;"&amp;E424)+COUNTIFS($J$6:$J$505,"اليوم",$E$6:$E$505,"&lt;"&amp;E424)+COUNTIFS($E$6:E424,E424&amp;"",$J$6:J424,J424),"")</f>
        <v/>
      </c>
    </row>
    <row r="425">
      <c r="A425" s="5" t="n"/>
      <c r="B425" s="5" t="n"/>
      <c r="C425" s="5" t="n"/>
      <c r="D425" s="16" t="n"/>
      <c r="E425" s="13" t="n"/>
      <c r="F425" s="13" t="n"/>
      <c r="G425" s="5" t="n"/>
      <c r="H425" s="17">
        <f>IF(C425&amp;""="","",IFERROR(VLOOKUP(C425,'الإعدادات'!$A$8:$B$13,2,FALSE),""))</f>
        <v/>
      </c>
      <c r="I425" s="18">
        <f>IF(OR(H425="",NOT(ISNUMBER(D425))),"",ROUND(D425*H425,2))</f>
        <v/>
      </c>
      <c r="J425" s="6">
        <f>IF(A425&amp;""="","",IF(OR(C425="تم",C425="خسارة"),"مغلقة",IF(NOT(ISNUMBER(E425)),"بلا موعد",IF(E425&lt;'الإعدادات'!$B$4,"متأخرة",IF(E425='الإعدادات'!$B$4,"اليوم","قادمة")))))</f>
        <v/>
      </c>
      <c r="K425" s="19">
        <f>IF(OR(J425="متأخرة",J425="اليوم"),'الإعدادات'!$B$4-E425,"")</f>
        <v/>
      </c>
      <c r="L425" s="19">
        <f>IF(OR(A425&amp;""="",NOT(ISNUMBER(F425))),"",'الإعدادات'!$B$4-F425)</f>
        <v/>
      </c>
      <c r="M425" s="19">
        <f>IF(OR(J425="متأخرة",J425="اليوم"),COUNTIFS($J$6:$J$505,"متأخرة",$E$6:$E$505,"&lt;"&amp;E425)+COUNTIFS($J$6:$J$505,"اليوم",$E$6:$E$505,"&lt;"&amp;E425)+COUNTIFS($E$6:E425,E425&amp;"",$J$6:J425,J425),"")</f>
        <v/>
      </c>
    </row>
    <row r="426">
      <c r="A426" s="5" t="n"/>
      <c r="B426" s="5" t="n"/>
      <c r="C426" s="5" t="n"/>
      <c r="D426" s="16" t="n"/>
      <c r="E426" s="13" t="n"/>
      <c r="F426" s="13" t="n"/>
      <c r="G426" s="5" t="n"/>
      <c r="H426" s="17">
        <f>IF(C426&amp;""="","",IFERROR(VLOOKUP(C426,'الإعدادات'!$A$8:$B$13,2,FALSE),""))</f>
        <v/>
      </c>
      <c r="I426" s="18">
        <f>IF(OR(H426="",NOT(ISNUMBER(D426))),"",ROUND(D426*H426,2))</f>
        <v/>
      </c>
      <c r="J426" s="6">
        <f>IF(A426&amp;""="","",IF(OR(C426="تم",C426="خسارة"),"مغلقة",IF(NOT(ISNUMBER(E426)),"بلا موعد",IF(E426&lt;'الإعدادات'!$B$4,"متأخرة",IF(E426='الإعدادات'!$B$4,"اليوم","قادمة")))))</f>
        <v/>
      </c>
      <c r="K426" s="19">
        <f>IF(OR(J426="متأخرة",J426="اليوم"),'الإعدادات'!$B$4-E426,"")</f>
        <v/>
      </c>
      <c r="L426" s="19">
        <f>IF(OR(A426&amp;""="",NOT(ISNUMBER(F426))),"",'الإعدادات'!$B$4-F426)</f>
        <v/>
      </c>
      <c r="M426" s="19">
        <f>IF(OR(J426="متأخرة",J426="اليوم"),COUNTIFS($J$6:$J$505,"متأخرة",$E$6:$E$505,"&lt;"&amp;E426)+COUNTIFS($J$6:$J$505,"اليوم",$E$6:$E$505,"&lt;"&amp;E426)+COUNTIFS($E$6:E426,E426&amp;"",$J$6:J426,J426),"")</f>
        <v/>
      </c>
    </row>
    <row r="427">
      <c r="A427" s="5" t="n"/>
      <c r="B427" s="5" t="n"/>
      <c r="C427" s="5" t="n"/>
      <c r="D427" s="16" t="n"/>
      <c r="E427" s="13" t="n"/>
      <c r="F427" s="13" t="n"/>
      <c r="G427" s="5" t="n"/>
      <c r="H427" s="17">
        <f>IF(C427&amp;""="","",IFERROR(VLOOKUP(C427,'الإعدادات'!$A$8:$B$13,2,FALSE),""))</f>
        <v/>
      </c>
      <c r="I427" s="18">
        <f>IF(OR(H427="",NOT(ISNUMBER(D427))),"",ROUND(D427*H427,2))</f>
        <v/>
      </c>
      <c r="J427" s="6">
        <f>IF(A427&amp;""="","",IF(OR(C427="تم",C427="خسارة"),"مغلقة",IF(NOT(ISNUMBER(E427)),"بلا موعد",IF(E427&lt;'الإعدادات'!$B$4,"متأخرة",IF(E427='الإعدادات'!$B$4,"اليوم","قادمة")))))</f>
        <v/>
      </c>
      <c r="K427" s="19">
        <f>IF(OR(J427="متأخرة",J427="اليوم"),'الإعدادات'!$B$4-E427,"")</f>
        <v/>
      </c>
      <c r="L427" s="19">
        <f>IF(OR(A427&amp;""="",NOT(ISNUMBER(F427))),"",'الإعدادات'!$B$4-F427)</f>
        <v/>
      </c>
      <c r="M427" s="19">
        <f>IF(OR(J427="متأخرة",J427="اليوم"),COUNTIFS($J$6:$J$505,"متأخرة",$E$6:$E$505,"&lt;"&amp;E427)+COUNTIFS($J$6:$J$505,"اليوم",$E$6:$E$505,"&lt;"&amp;E427)+COUNTIFS($E$6:E427,E427&amp;"",$J$6:J427,J427),"")</f>
        <v/>
      </c>
    </row>
    <row r="428">
      <c r="A428" s="5" t="n"/>
      <c r="B428" s="5" t="n"/>
      <c r="C428" s="5" t="n"/>
      <c r="D428" s="16" t="n"/>
      <c r="E428" s="13" t="n"/>
      <c r="F428" s="13" t="n"/>
      <c r="G428" s="5" t="n"/>
      <c r="H428" s="17">
        <f>IF(C428&amp;""="","",IFERROR(VLOOKUP(C428,'الإعدادات'!$A$8:$B$13,2,FALSE),""))</f>
        <v/>
      </c>
      <c r="I428" s="18">
        <f>IF(OR(H428="",NOT(ISNUMBER(D428))),"",ROUND(D428*H428,2))</f>
        <v/>
      </c>
      <c r="J428" s="6">
        <f>IF(A428&amp;""="","",IF(OR(C428="تم",C428="خسارة"),"مغلقة",IF(NOT(ISNUMBER(E428)),"بلا موعد",IF(E428&lt;'الإعدادات'!$B$4,"متأخرة",IF(E428='الإعدادات'!$B$4,"اليوم","قادمة")))))</f>
        <v/>
      </c>
      <c r="K428" s="19">
        <f>IF(OR(J428="متأخرة",J428="اليوم"),'الإعدادات'!$B$4-E428,"")</f>
        <v/>
      </c>
      <c r="L428" s="19">
        <f>IF(OR(A428&amp;""="",NOT(ISNUMBER(F428))),"",'الإعدادات'!$B$4-F428)</f>
        <v/>
      </c>
      <c r="M428" s="19">
        <f>IF(OR(J428="متأخرة",J428="اليوم"),COUNTIFS($J$6:$J$505,"متأخرة",$E$6:$E$505,"&lt;"&amp;E428)+COUNTIFS($J$6:$J$505,"اليوم",$E$6:$E$505,"&lt;"&amp;E428)+COUNTIFS($E$6:E428,E428&amp;"",$J$6:J428,J428),"")</f>
        <v/>
      </c>
    </row>
    <row r="429">
      <c r="A429" s="5" t="n"/>
      <c r="B429" s="5" t="n"/>
      <c r="C429" s="5" t="n"/>
      <c r="D429" s="16" t="n"/>
      <c r="E429" s="13" t="n"/>
      <c r="F429" s="13" t="n"/>
      <c r="G429" s="5" t="n"/>
      <c r="H429" s="17">
        <f>IF(C429&amp;""="","",IFERROR(VLOOKUP(C429,'الإعدادات'!$A$8:$B$13,2,FALSE),""))</f>
        <v/>
      </c>
      <c r="I429" s="18">
        <f>IF(OR(H429="",NOT(ISNUMBER(D429))),"",ROUND(D429*H429,2))</f>
        <v/>
      </c>
      <c r="J429" s="6">
        <f>IF(A429&amp;""="","",IF(OR(C429="تم",C429="خسارة"),"مغلقة",IF(NOT(ISNUMBER(E429)),"بلا موعد",IF(E429&lt;'الإعدادات'!$B$4,"متأخرة",IF(E429='الإعدادات'!$B$4,"اليوم","قادمة")))))</f>
        <v/>
      </c>
      <c r="K429" s="19">
        <f>IF(OR(J429="متأخرة",J429="اليوم"),'الإعدادات'!$B$4-E429,"")</f>
        <v/>
      </c>
      <c r="L429" s="19">
        <f>IF(OR(A429&amp;""="",NOT(ISNUMBER(F429))),"",'الإعدادات'!$B$4-F429)</f>
        <v/>
      </c>
      <c r="M429" s="19">
        <f>IF(OR(J429="متأخرة",J429="اليوم"),COUNTIFS($J$6:$J$505,"متأخرة",$E$6:$E$505,"&lt;"&amp;E429)+COUNTIFS($J$6:$J$505,"اليوم",$E$6:$E$505,"&lt;"&amp;E429)+COUNTIFS($E$6:E429,E429&amp;"",$J$6:J429,J429),"")</f>
        <v/>
      </c>
    </row>
    <row r="430">
      <c r="A430" s="5" t="n"/>
      <c r="B430" s="5" t="n"/>
      <c r="C430" s="5" t="n"/>
      <c r="D430" s="16" t="n"/>
      <c r="E430" s="13" t="n"/>
      <c r="F430" s="13" t="n"/>
      <c r="G430" s="5" t="n"/>
      <c r="H430" s="17">
        <f>IF(C430&amp;""="","",IFERROR(VLOOKUP(C430,'الإعدادات'!$A$8:$B$13,2,FALSE),""))</f>
        <v/>
      </c>
      <c r="I430" s="18">
        <f>IF(OR(H430="",NOT(ISNUMBER(D430))),"",ROUND(D430*H430,2))</f>
        <v/>
      </c>
      <c r="J430" s="6">
        <f>IF(A430&amp;""="","",IF(OR(C430="تم",C430="خسارة"),"مغلقة",IF(NOT(ISNUMBER(E430)),"بلا موعد",IF(E430&lt;'الإعدادات'!$B$4,"متأخرة",IF(E430='الإعدادات'!$B$4,"اليوم","قادمة")))))</f>
        <v/>
      </c>
      <c r="K430" s="19">
        <f>IF(OR(J430="متأخرة",J430="اليوم"),'الإعدادات'!$B$4-E430,"")</f>
        <v/>
      </c>
      <c r="L430" s="19">
        <f>IF(OR(A430&amp;""="",NOT(ISNUMBER(F430))),"",'الإعدادات'!$B$4-F430)</f>
        <v/>
      </c>
      <c r="M430" s="19">
        <f>IF(OR(J430="متأخرة",J430="اليوم"),COUNTIFS($J$6:$J$505,"متأخرة",$E$6:$E$505,"&lt;"&amp;E430)+COUNTIFS($J$6:$J$505,"اليوم",$E$6:$E$505,"&lt;"&amp;E430)+COUNTIFS($E$6:E430,E430&amp;"",$J$6:J430,J430),"")</f>
        <v/>
      </c>
    </row>
    <row r="431">
      <c r="A431" s="5" t="n"/>
      <c r="B431" s="5" t="n"/>
      <c r="C431" s="5" t="n"/>
      <c r="D431" s="16" t="n"/>
      <c r="E431" s="13" t="n"/>
      <c r="F431" s="13" t="n"/>
      <c r="G431" s="5" t="n"/>
      <c r="H431" s="17">
        <f>IF(C431&amp;""="","",IFERROR(VLOOKUP(C431,'الإعدادات'!$A$8:$B$13,2,FALSE),""))</f>
        <v/>
      </c>
      <c r="I431" s="18">
        <f>IF(OR(H431="",NOT(ISNUMBER(D431))),"",ROUND(D431*H431,2))</f>
        <v/>
      </c>
      <c r="J431" s="6">
        <f>IF(A431&amp;""="","",IF(OR(C431="تم",C431="خسارة"),"مغلقة",IF(NOT(ISNUMBER(E431)),"بلا موعد",IF(E431&lt;'الإعدادات'!$B$4,"متأخرة",IF(E431='الإعدادات'!$B$4,"اليوم","قادمة")))))</f>
        <v/>
      </c>
      <c r="K431" s="19">
        <f>IF(OR(J431="متأخرة",J431="اليوم"),'الإعدادات'!$B$4-E431,"")</f>
        <v/>
      </c>
      <c r="L431" s="19">
        <f>IF(OR(A431&amp;""="",NOT(ISNUMBER(F431))),"",'الإعدادات'!$B$4-F431)</f>
        <v/>
      </c>
      <c r="M431" s="19">
        <f>IF(OR(J431="متأخرة",J431="اليوم"),COUNTIFS($J$6:$J$505,"متأخرة",$E$6:$E$505,"&lt;"&amp;E431)+COUNTIFS($J$6:$J$505,"اليوم",$E$6:$E$505,"&lt;"&amp;E431)+COUNTIFS($E$6:E431,E431&amp;"",$J$6:J431,J431),"")</f>
        <v/>
      </c>
    </row>
    <row r="432">
      <c r="A432" s="5" t="n"/>
      <c r="B432" s="5" t="n"/>
      <c r="C432" s="5" t="n"/>
      <c r="D432" s="16" t="n"/>
      <c r="E432" s="13" t="n"/>
      <c r="F432" s="13" t="n"/>
      <c r="G432" s="5" t="n"/>
      <c r="H432" s="17">
        <f>IF(C432&amp;""="","",IFERROR(VLOOKUP(C432,'الإعدادات'!$A$8:$B$13,2,FALSE),""))</f>
        <v/>
      </c>
      <c r="I432" s="18">
        <f>IF(OR(H432="",NOT(ISNUMBER(D432))),"",ROUND(D432*H432,2))</f>
        <v/>
      </c>
      <c r="J432" s="6">
        <f>IF(A432&amp;""="","",IF(OR(C432="تم",C432="خسارة"),"مغلقة",IF(NOT(ISNUMBER(E432)),"بلا موعد",IF(E432&lt;'الإعدادات'!$B$4,"متأخرة",IF(E432='الإعدادات'!$B$4,"اليوم","قادمة")))))</f>
        <v/>
      </c>
      <c r="K432" s="19">
        <f>IF(OR(J432="متأخرة",J432="اليوم"),'الإعدادات'!$B$4-E432,"")</f>
        <v/>
      </c>
      <c r="L432" s="19">
        <f>IF(OR(A432&amp;""="",NOT(ISNUMBER(F432))),"",'الإعدادات'!$B$4-F432)</f>
        <v/>
      </c>
      <c r="M432" s="19">
        <f>IF(OR(J432="متأخرة",J432="اليوم"),COUNTIFS($J$6:$J$505,"متأخرة",$E$6:$E$505,"&lt;"&amp;E432)+COUNTIFS($J$6:$J$505,"اليوم",$E$6:$E$505,"&lt;"&amp;E432)+COUNTIFS($E$6:E432,E432&amp;"",$J$6:J432,J432),"")</f>
        <v/>
      </c>
    </row>
    <row r="433">
      <c r="A433" s="5" t="n"/>
      <c r="B433" s="5" t="n"/>
      <c r="C433" s="5" t="n"/>
      <c r="D433" s="16" t="n"/>
      <c r="E433" s="13" t="n"/>
      <c r="F433" s="13" t="n"/>
      <c r="G433" s="5" t="n"/>
      <c r="H433" s="17">
        <f>IF(C433&amp;""="","",IFERROR(VLOOKUP(C433,'الإعدادات'!$A$8:$B$13,2,FALSE),""))</f>
        <v/>
      </c>
      <c r="I433" s="18">
        <f>IF(OR(H433="",NOT(ISNUMBER(D433))),"",ROUND(D433*H433,2))</f>
        <v/>
      </c>
      <c r="J433" s="6">
        <f>IF(A433&amp;""="","",IF(OR(C433="تم",C433="خسارة"),"مغلقة",IF(NOT(ISNUMBER(E433)),"بلا موعد",IF(E433&lt;'الإعدادات'!$B$4,"متأخرة",IF(E433='الإعدادات'!$B$4,"اليوم","قادمة")))))</f>
        <v/>
      </c>
      <c r="K433" s="19">
        <f>IF(OR(J433="متأخرة",J433="اليوم"),'الإعدادات'!$B$4-E433,"")</f>
        <v/>
      </c>
      <c r="L433" s="19">
        <f>IF(OR(A433&amp;""="",NOT(ISNUMBER(F433))),"",'الإعدادات'!$B$4-F433)</f>
        <v/>
      </c>
      <c r="M433" s="19">
        <f>IF(OR(J433="متأخرة",J433="اليوم"),COUNTIFS($J$6:$J$505,"متأخرة",$E$6:$E$505,"&lt;"&amp;E433)+COUNTIFS($J$6:$J$505,"اليوم",$E$6:$E$505,"&lt;"&amp;E433)+COUNTIFS($E$6:E433,E433&amp;"",$J$6:J433,J433),"")</f>
        <v/>
      </c>
    </row>
    <row r="434">
      <c r="A434" s="5" t="n"/>
      <c r="B434" s="5" t="n"/>
      <c r="C434" s="5" t="n"/>
      <c r="D434" s="16" t="n"/>
      <c r="E434" s="13" t="n"/>
      <c r="F434" s="13" t="n"/>
      <c r="G434" s="5" t="n"/>
      <c r="H434" s="17">
        <f>IF(C434&amp;""="","",IFERROR(VLOOKUP(C434,'الإعدادات'!$A$8:$B$13,2,FALSE),""))</f>
        <v/>
      </c>
      <c r="I434" s="18">
        <f>IF(OR(H434="",NOT(ISNUMBER(D434))),"",ROUND(D434*H434,2))</f>
        <v/>
      </c>
      <c r="J434" s="6">
        <f>IF(A434&amp;""="","",IF(OR(C434="تم",C434="خسارة"),"مغلقة",IF(NOT(ISNUMBER(E434)),"بلا موعد",IF(E434&lt;'الإعدادات'!$B$4,"متأخرة",IF(E434='الإعدادات'!$B$4,"اليوم","قادمة")))))</f>
        <v/>
      </c>
      <c r="K434" s="19">
        <f>IF(OR(J434="متأخرة",J434="اليوم"),'الإعدادات'!$B$4-E434,"")</f>
        <v/>
      </c>
      <c r="L434" s="19">
        <f>IF(OR(A434&amp;""="",NOT(ISNUMBER(F434))),"",'الإعدادات'!$B$4-F434)</f>
        <v/>
      </c>
      <c r="M434" s="19">
        <f>IF(OR(J434="متأخرة",J434="اليوم"),COUNTIFS($J$6:$J$505,"متأخرة",$E$6:$E$505,"&lt;"&amp;E434)+COUNTIFS($J$6:$J$505,"اليوم",$E$6:$E$505,"&lt;"&amp;E434)+COUNTIFS($E$6:E434,E434&amp;"",$J$6:J434,J434),"")</f>
        <v/>
      </c>
    </row>
    <row r="435">
      <c r="A435" s="5" t="n"/>
      <c r="B435" s="5" t="n"/>
      <c r="C435" s="5" t="n"/>
      <c r="D435" s="16" t="n"/>
      <c r="E435" s="13" t="n"/>
      <c r="F435" s="13" t="n"/>
      <c r="G435" s="5" t="n"/>
      <c r="H435" s="17">
        <f>IF(C435&amp;""="","",IFERROR(VLOOKUP(C435,'الإعدادات'!$A$8:$B$13,2,FALSE),""))</f>
        <v/>
      </c>
      <c r="I435" s="18">
        <f>IF(OR(H435="",NOT(ISNUMBER(D435))),"",ROUND(D435*H435,2))</f>
        <v/>
      </c>
      <c r="J435" s="6">
        <f>IF(A435&amp;""="","",IF(OR(C435="تم",C435="خسارة"),"مغلقة",IF(NOT(ISNUMBER(E435)),"بلا موعد",IF(E435&lt;'الإعدادات'!$B$4,"متأخرة",IF(E435='الإعدادات'!$B$4,"اليوم","قادمة")))))</f>
        <v/>
      </c>
      <c r="K435" s="19">
        <f>IF(OR(J435="متأخرة",J435="اليوم"),'الإعدادات'!$B$4-E435,"")</f>
        <v/>
      </c>
      <c r="L435" s="19">
        <f>IF(OR(A435&amp;""="",NOT(ISNUMBER(F435))),"",'الإعدادات'!$B$4-F435)</f>
        <v/>
      </c>
      <c r="M435" s="19">
        <f>IF(OR(J435="متأخرة",J435="اليوم"),COUNTIFS($J$6:$J$505,"متأخرة",$E$6:$E$505,"&lt;"&amp;E435)+COUNTIFS($J$6:$J$505,"اليوم",$E$6:$E$505,"&lt;"&amp;E435)+COUNTIFS($E$6:E435,E435&amp;"",$J$6:J435,J435),"")</f>
        <v/>
      </c>
    </row>
    <row r="436">
      <c r="A436" s="5" t="n"/>
      <c r="B436" s="5" t="n"/>
      <c r="C436" s="5" t="n"/>
      <c r="D436" s="16" t="n"/>
      <c r="E436" s="13" t="n"/>
      <c r="F436" s="13" t="n"/>
      <c r="G436" s="5" t="n"/>
      <c r="H436" s="17">
        <f>IF(C436&amp;""="","",IFERROR(VLOOKUP(C436,'الإعدادات'!$A$8:$B$13,2,FALSE),""))</f>
        <v/>
      </c>
      <c r="I436" s="18">
        <f>IF(OR(H436="",NOT(ISNUMBER(D436))),"",ROUND(D436*H436,2))</f>
        <v/>
      </c>
      <c r="J436" s="6">
        <f>IF(A436&amp;""="","",IF(OR(C436="تم",C436="خسارة"),"مغلقة",IF(NOT(ISNUMBER(E436)),"بلا موعد",IF(E436&lt;'الإعدادات'!$B$4,"متأخرة",IF(E436='الإعدادات'!$B$4,"اليوم","قادمة")))))</f>
        <v/>
      </c>
      <c r="K436" s="19">
        <f>IF(OR(J436="متأخرة",J436="اليوم"),'الإعدادات'!$B$4-E436,"")</f>
        <v/>
      </c>
      <c r="L436" s="19">
        <f>IF(OR(A436&amp;""="",NOT(ISNUMBER(F436))),"",'الإعدادات'!$B$4-F436)</f>
        <v/>
      </c>
      <c r="M436" s="19">
        <f>IF(OR(J436="متأخرة",J436="اليوم"),COUNTIFS($J$6:$J$505,"متأخرة",$E$6:$E$505,"&lt;"&amp;E436)+COUNTIFS($J$6:$J$505,"اليوم",$E$6:$E$505,"&lt;"&amp;E436)+COUNTIFS($E$6:E436,E436&amp;"",$J$6:J436,J436),"")</f>
        <v/>
      </c>
    </row>
    <row r="437">
      <c r="A437" s="5" t="n"/>
      <c r="B437" s="5" t="n"/>
      <c r="C437" s="5" t="n"/>
      <c r="D437" s="16" t="n"/>
      <c r="E437" s="13" t="n"/>
      <c r="F437" s="13" t="n"/>
      <c r="G437" s="5" t="n"/>
      <c r="H437" s="17">
        <f>IF(C437&amp;""="","",IFERROR(VLOOKUP(C437,'الإعدادات'!$A$8:$B$13,2,FALSE),""))</f>
        <v/>
      </c>
      <c r="I437" s="18">
        <f>IF(OR(H437="",NOT(ISNUMBER(D437))),"",ROUND(D437*H437,2))</f>
        <v/>
      </c>
      <c r="J437" s="6">
        <f>IF(A437&amp;""="","",IF(OR(C437="تم",C437="خسارة"),"مغلقة",IF(NOT(ISNUMBER(E437)),"بلا موعد",IF(E437&lt;'الإعدادات'!$B$4,"متأخرة",IF(E437='الإعدادات'!$B$4,"اليوم","قادمة")))))</f>
        <v/>
      </c>
      <c r="K437" s="19">
        <f>IF(OR(J437="متأخرة",J437="اليوم"),'الإعدادات'!$B$4-E437,"")</f>
        <v/>
      </c>
      <c r="L437" s="19">
        <f>IF(OR(A437&amp;""="",NOT(ISNUMBER(F437))),"",'الإعدادات'!$B$4-F437)</f>
        <v/>
      </c>
      <c r="M437" s="19">
        <f>IF(OR(J437="متأخرة",J437="اليوم"),COUNTIFS($J$6:$J$505,"متأخرة",$E$6:$E$505,"&lt;"&amp;E437)+COUNTIFS($J$6:$J$505,"اليوم",$E$6:$E$505,"&lt;"&amp;E437)+COUNTIFS($E$6:E437,E437&amp;"",$J$6:J437,J437),"")</f>
        <v/>
      </c>
    </row>
    <row r="438">
      <c r="A438" s="5" t="n"/>
      <c r="B438" s="5" t="n"/>
      <c r="C438" s="5" t="n"/>
      <c r="D438" s="16" t="n"/>
      <c r="E438" s="13" t="n"/>
      <c r="F438" s="13" t="n"/>
      <c r="G438" s="5" t="n"/>
      <c r="H438" s="17">
        <f>IF(C438&amp;""="","",IFERROR(VLOOKUP(C438,'الإعدادات'!$A$8:$B$13,2,FALSE),""))</f>
        <v/>
      </c>
      <c r="I438" s="18">
        <f>IF(OR(H438="",NOT(ISNUMBER(D438))),"",ROUND(D438*H438,2))</f>
        <v/>
      </c>
      <c r="J438" s="6">
        <f>IF(A438&amp;""="","",IF(OR(C438="تم",C438="خسارة"),"مغلقة",IF(NOT(ISNUMBER(E438)),"بلا موعد",IF(E438&lt;'الإعدادات'!$B$4,"متأخرة",IF(E438='الإعدادات'!$B$4,"اليوم","قادمة")))))</f>
        <v/>
      </c>
      <c r="K438" s="19">
        <f>IF(OR(J438="متأخرة",J438="اليوم"),'الإعدادات'!$B$4-E438,"")</f>
        <v/>
      </c>
      <c r="L438" s="19">
        <f>IF(OR(A438&amp;""="",NOT(ISNUMBER(F438))),"",'الإعدادات'!$B$4-F438)</f>
        <v/>
      </c>
      <c r="M438" s="19">
        <f>IF(OR(J438="متأخرة",J438="اليوم"),COUNTIFS($J$6:$J$505,"متأخرة",$E$6:$E$505,"&lt;"&amp;E438)+COUNTIFS($J$6:$J$505,"اليوم",$E$6:$E$505,"&lt;"&amp;E438)+COUNTIFS($E$6:E438,E438&amp;"",$J$6:J438,J438),"")</f>
        <v/>
      </c>
    </row>
    <row r="439">
      <c r="A439" s="5" t="n"/>
      <c r="B439" s="5" t="n"/>
      <c r="C439" s="5" t="n"/>
      <c r="D439" s="16" t="n"/>
      <c r="E439" s="13" t="n"/>
      <c r="F439" s="13" t="n"/>
      <c r="G439" s="5" t="n"/>
      <c r="H439" s="17">
        <f>IF(C439&amp;""="","",IFERROR(VLOOKUP(C439,'الإعدادات'!$A$8:$B$13,2,FALSE),""))</f>
        <v/>
      </c>
      <c r="I439" s="18">
        <f>IF(OR(H439="",NOT(ISNUMBER(D439))),"",ROUND(D439*H439,2))</f>
        <v/>
      </c>
      <c r="J439" s="6">
        <f>IF(A439&amp;""="","",IF(OR(C439="تم",C439="خسارة"),"مغلقة",IF(NOT(ISNUMBER(E439)),"بلا موعد",IF(E439&lt;'الإعدادات'!$B$4,"متأخرة",IF(E439='الإعدادات'!$B$4,"اليوم","قادمة")))))</f>
        <v/>
      </c>
      <c r="K439" s="19">
        <f>IF(OR(J439="متأخرة",J439="اليوم"),'الإعدادات'!$B$4-E439,"")</f>
        <v/>
      </c>
      <c r="L439" s="19">
        <f>IF(OR(A439&amp;""="",NOT(ISNUMBER(F439))),"",'الإعدادات'!$B$4-F439)</f>
        <v/>
      </c>
      <c r="M439" s="19">
        <f>IF(OR(J439="متأخرة",J439="اليوم"),COUNTIFS($J$6:$J$505,"متأخرة",$E$6:$E$505,"&lt;"&amp;E439)+COUNTIFS($J$6:$J$505,"اليوم",$E$6:$E$505,"&lt;"&amp;E439)+COUNTIFS($E$6:E439,E439&amp;"",$J$6:J439,J439),"")</f>
        <v/>
      </c>
    </row>
    <row r="440">
      <c r="A440" s="5" t="n"/>
      <c r="B440" s="5" t="n"/>
      <c r="C440" s="5" t="n"/>
      <c r="D440" s="16" t="n"/>
      <c r="E440" s="13" t="n"/>
      <c r="F440" s="13" t="n"/>
      <c r="G440" s="5" t="n"/>
      <c r="H440" s="17">
        <f>IF(C440&amp;""="","",IFERROR(VLOOKUP(C440,'الإعدادات'!$A$8:$B$13,2,FALSE),""))</f>
        <v/>
      </c>
      <c r="I440" s="18">
        <f>IF(OR(H440="",NOT(ISNUMBER(D440))),"",ROUND(D440*H440,2))</f>
        <v/>
      </c>
      <c r="J440" s="6">
        <f>IF(A440&amp;""="","",IF(OR(C440="تم",C440="خسارة"),"مغلقة",IF(NOT(ISNUMBER(E440)),"بلا موعد",IF(E440&lt;'الإعدادات'!$B$4,"متأخرة",IF(E440='الإعدادات'!$B$4,"اليوم","قادمة")))))</f>
        <v/>
      </c>
      <c r="K440" s="19">
        <f>IF(OR(J440="متأخرة",J440="اليوم"),'الإعدادات'!$B$4-E440,"")</f>
        <v/>
      </c>
      <c r="L440" s="19">
        <f>IF(OR(A440&amp;""="",NOT(ISNUMBER(F440))),"",'الإعدادات'!$B$4-F440)</f>
        <v/>
      </c>
      <c r="M440" s="19">
        <f>IF(OR(J440="متأخرة",J440="اليوم"),COUNTIFS($J$6:$J$505,"متأخرة",$E$6:$E$505,"&lt;"&amp;E440)+COUNTIFS($J$6:$J$505,"اليوم",$E$6:$E$505,"&lt;"&amp;E440)+COUNTIFS($E$6:E440,E440&amp;"",$J$6:J440,J440),"")</f>
        <v/>
      </c>
    </row>
    <row r="441">
      <c r="A441" s="5" t="n"/>
      <c r="B441" s="5" t="n"/>
      <c r="C441" s="5" t="n"/>
      <c r="D441" s="16" t="n"/>
      <c r="E441" s="13" t="n"/>
      <c r="F441" s="13" t="n"/>
      <c r="G441" s="5" t="n"/>
      <c r="H441" s="17">
        <f>IF(C441&amp;""="","",IFERROR(VLOOKUP(C441,'الإعدادات'!$A$8:$B$13,2,FALSE),""))</f>
        <v/>
      </c>
      <c r="I441" s="18">
        <f>IF(OR(H441="",NOT(ISNUMBER(D441))),"",ROUND(D441*H441,2))</f>
        <v/>
      </c>
      <c r="J441" s="6">
        <f>IF(A441&amp;""="","",IF(OR(C441="تم",C441="خسارة"),"مغلقة",IF(NOT(ISNUMBER(E441)),"بلا موعد",IF(E441&lt;'الإعدادات'!$B$4,"متأخرة",IF(E441='الإعدادات'!$B$4,"اليوم","قادمة")))))</f>
        <v/>
      </c>
      <c r="K441" s="19">
        <f>IF(OR(J441="متأخرة",J441="اليوم"),'الإعدادات'!$B$4-E441,"")</f>
        <v/>
      </c>
      <c r="L441" s="19">
        <f>IF(OR(A441&amp;""="",NOT(ISNUMBER(F441))),"",'الإعدادات'!$B$4-F441)</f>
        <v/>
      </c>
      <c r="M441" s="19">
        <f>IF(OR(J441="متأخرة",J441="اليوم"),COUNTIFS($J$6:$J$505,"متأخرة",$E$6:$E$505,"&lt;"&amp;E441)+COUNTIFS($J$6:$J$505,"اليوم",$E$6:$E$505,"&lt;"&amp;E441)+COUNTIFS($E$6:E441,E441&amp;"",$J$6:J441,J441),"")</f>
        <v/>
      </c>
    </row>
    <row r="442">
      <c r="A442" s="5" t="n"/>
      <c r="B442" s="5" t="n"/>
      <c r="C442" s="5" t="n"/>
      <c r="D442" s="16" t="n"/>
      <c r="E442" s="13" t="n"/>
      <c r="F442" s="13" t="n"/>
      <c r="G442" s="5" t="n"/>
      <c r="H442" s="17">
        <f>IF(C442&amp;""="","",IFERROR(VLOOKUP(C442,'الإعدادات'!$A$8:$B$13,2,FALSE),""))</f>
        <v/>
      </c>
      <c r="I442" s="18">
        <f>IF(OR(H442="",NOT(ISNUMBER(D442))),"",ROUND(D442*H442,2))</f>
        <v/>
      </c>
      <c r="J442" s="6">
        <f>IF(A442&amp;""="","",IF(OR(C442="تم",C442="خسارة"),"مغلقة",IF(NOT(ISNUMBER(E442)),"بلا موعد",IF(E442&lt;'الإعدادات'!$B$4,"متأخرة",IF(E442='الإعدادات'!$B$4,"اليوم","قادمة")))))</f>
        <v/>
      </c>
      <c r="K442" s="19">
        <f>IF(OR(J442="متأخرة",J442="اليوم"),'الإعدادات'!$B$4-E442,"")</f>
        <v/>
      </c>
      <c r="L442" s="19">
        <f>IF(OR(A442&amp;""="",NOT(ISNUMBER(F442))),"",'الإعدادات'!$B$4-F442)</f>
        <v/>
      </c>
      <c r="M442" s="19">
        <f>IF(OR(J442="متأخرة",J442="اليوم"),COUNTIFS($J$6:$J$505,"متأخرة",$E$6:$E$505,"&lt;"&amp;E442)+COUNTIFS($J$6:$J$505,"اليوم",$E$6:$E$505,"&lt;"&amp;E442)+COUNTIFS($E$6:E442,E442&amp;"",$J$6:J442,J442),"")</f>
        <v/>
      </c>
    </row>
    <row r="443">
      <c r="A443" s="5" t="n"/>
      <c r="B443" s="5" t="n"/>
      <c r="C443" s="5" t="n"/>
      <c r="D443" s="16" t="n"/>
      <c r="E443" s="13" t="n"/>
      <c r="F443" s="13" t="n"/>
      <c r="G443" s="5" t="n"/>
      <c r="H443" s="17">
        <f>IF(C443&amp;""="","",IFERROR(VLOOKUP(C443,'الإعدادات'!$A$8:$B$13,2,FALSE),""))</f>
        <v/>
      </c>
      <c r="I443" s="18">
        <f>IF(OR(H443="",NOT(ISNUMBER(D443))),"",ROUND(D443*H443,2))</f>
        <v/>
      </c>
      <c r="J443" s="6">
        <f>IF(A443&amp;""="","",IF(OR(C443="تم",C443="خسارة"),"مغلقة",IF(NOT(ISNUMBER(E443)),"بلا موعد",IF(E443&lt;'الإعدادات'!$B$4,"متأخرة",IF(E443='الإعدادات'!$B$4,"اليوم","قادمة")))))</f>
        <v/>
      </c>
      <c r="K443" s="19">
        <f>IF(OR(J443="متأخرة",J443="اليوم"),'الإعدادات'!$B$4-E443,"")</f>
        <v/>
      </c>
      <c r="L443" s="19">
        <f>IF(OR(A443&amp;""="",NOT(ISNUMBER(F443))),"",'الإعدادات'!$B$4-F443)</f>
        <v/>
      </c>
      <c r="M443" s="19">
        <f>IF(OR(J443="متأخرة",J443="اليوم"),COUNTIFS($J$6:$J$505,"متأخرة",$E$6:$E$505,"&lt;"&amp;E443)+COUNTIFS($J$6:$J$505,"اليوم",$E$6:$E$505,"&lt;"&amp;E443)+COUNTIFS($E$6:E443,E443&amp;"",$J$6:J443,J443),"")</f>
        <v/>
      </c>
    </row>
    <row r="444">
      <c r="A444" s="5" t="n"/>
      <c r="B444" s="5" t="n"/>
      <c r="C444" s="5" t="n"/>
      <c r="D444" s="16" t="n"/>
      <c r="E444" s="13" t="n"/>
      <c r="F444" s="13" t="n"/>
      <c r="G444" s="5" t="n"/>
      <c r="H444" s="17">
        <f>IF(C444&amp;""="","",IFERROR(VLOOKUP(C444,'الإعدادات'!$A$8:$B$13,2,FALSE),""))</f>
        <v/>
      </c>
      <c r="I444" s="18">
        <f>IF(OR(H444="",NOT(ISNUMBER(D444))),"",ROUND(D444*H444,2))</f>
        <v/>
      </c>
      <c r="J444" s="6">
        <f>IF(A444&amp;""="","",IF(OR(C444="تم",C444="خسارة"),"مغلقة",IF(NOT(ISNUMBER(E444)),"بلا موعد",IF(E444&lt;'الإعدادات'!$B$4,"متأخرة",IF(E444='الإعدادات'!$B$4,"اليوم","قادمة")))))</f>
        <v/>
      </c>
      <c r="K444" s="19">
        <f>IF(OR(J444="متأخرة",J444="اليوم"),'الإعدادات'!$B$4-E444,"")</f>
        <v/>
      </c>
      <c r="L444" s="19">
        <f>IF(OR(A444&amp;""="",NOT(ISNUMBER(F444))),"",'الإعدادات'!$B$4-F444)</f>
        <v/>
      </c>
      <c r="M444" s="19">
        <f>IF(OR(J444="متأخرة",J444="اليوم"),COUNTIFS($J$6:$J$505,"متأخرة",$E$6:$E$505,"&lt;"&amp;E444)+COUNTIFS($J$6:$J$505,"اليوم",$E$6:$E$505,"&lt;"&amp;E444)+COUNTIFS($E$6:E444,E444&amp;"",$J$6:J444,J444),"")</f>
        <v/>
      </c>
    </row>
    <row r="445">
      <c r="A445" s="5" t="n"/>
      <c r="B445" s="5" t="n"/>
      <c r="C445" s="5" t="n"/>
      <c r="D445" s="16" t="n"/>
      <c r="E445" s="13" t="n"/>
      <c r="F445" s="13" t="n"/>
      <c r="G445" s="5" t="n"/>
      <c r="H445" s="17">
        <f>IF(C445&amp;""="","",IFERROR(VLOOKUP(C445,'الإعدادات'!$A$8:$B$13,2,FALSE),""))</f>
        <v/>
      </c>
      <c r="I445" s="18">
        <f>IF(OR(H445="",NOT(ISNUMBER(D445))),"",ROUND(D445*H445,2))</f>
        <v/>
      </c>
      <c r="J445" s="6">
        <f>IF(A445&amp;""="","",IF(OR(C445="تم",C445="خسارة"),"مغلقة",IF(NOT(ISNUMBER(E445)),"بلا موعد",IF(E445&lt;'الإعدادات'!$B$4,"متأخرة",IF(E445='الإعدادات'!$B$4,"اليوم","قادمة")))))</f>
        <v/>
      </c>
      <c r="K445" s="19">
        <f>IF(OR(J445="متأخرة",J445="اليوم"),'الإعدادات'!$B$4-E445,"")</f>
        <v/>
      </c>
      <c r="L445" s="19">
        <f>IF(OR(A445&amp;""="",NOT(ISNUMBER(F445))),"",'الإعدادات'!$B$4-F445)</f>
        <v/>
      </c>
      <c r="M445" s="19">
        <f>IF(OR(J445="متأخرة",J445="اليوم"),COUNTIFS($J$6:$J$505,"متأخرة",$E$6:$E$505,"&lt;"&amp;E445)+COUNTIFS($J$6:$J$505,"اليوم",$E$6:$E$505,"&lt;"&amp;E445)+COUNTIFS($E$6:E445,E445&amp;"",$J$6:J445,J445),"")</f>
        <v/>
      </c>
    </row>
    <row r="446">
      <c r="A446" s="5" t="n"/>
      <c r="B446" s="5" t="n"/>
      <c r="C446" s="5" t="n"/>
      <c r="D446" s="16" t="n"/>
      <c r="E446" s="13" t="n"/>
      <c r="F446" s="13" t="n"/>
      <c r="G446" s="5" t="n"/>
      <c r="H446" s="17">
        <f>IF(C446&amp;""="","",IFERROR(VLOOKUP(C446,'الإعدادات'!$A$8:$B$13,2,FALSE),""))</f>
        <v/>
      </c>
      <c r="I446" s="18">
        <f>IF(OR(H446="",NOT(ISNUMBER(D446))),"",ROUND(D446*H446,2))</f>
        <v/>
      </c>
      <c r="J446" s="6">
        <f>IF(A446&amp;""="","",IF(OR(C446="تم",C446="خسارة"),"مغلقة",IF(NOT(ISNUMBER(E446)),"بلا موعد",IF(E446&lt;'الإعدادات'!$B$4,"متأخرة",IF(E446='الإعدادات'!$B$4,"اليوم","قادمة")))))</f>
        <v/>
      </c>
      <c r="K446" s="19">
        <f>IF(OR(J446="متأخرة",J446="اليوم"),'الإعدادات'!$B$4-E446,"")</f>
        <v/>
      </c>
      <c r="L446" s="19">
        <f>IF(OR(A446&amp;""="",NOT(ISNUMBER(F446))),"",'الإعدادات'!$B$4-F446)</f>
        <v/>
      </c>
      <c r="M446" s="19">
        <f>IF(OR(J446="متأخرة",J446="اليوم"),COUNTIFS($J$6:$J$505,"متأخرة",$E$6:$E$505,"&lt;"&amp;E446)+COUNTIFS($J$6:$J$505,"اليوم",$E$6:$E$505,"&lt;"&amp;E446)+COUNTIFS($E$6:E446,E446&amp;"",$J$6:J446,J446),"")</f>
        <v/>
      </c>
    </row>
    <row r="447">
      <c r="A447" s="5" t="n"/>
      <c r="B447" s="5" t="n"/>
      <c r="C447" s="5" t="n"/>
      <c r="D447" s="16" t="n"/>
      <c r="E447" s="13" t="n"/>
      <c r="F447" s="13" t="n"/>
      <c r="G447" s="5" t="n"/>
      <c r="H447" s="17">
        <f>IF(C447&amp;""="","",IFERROR(VLOOKUP(C447,'الإعدادات'!$A$8:$B$13,2,FALSE),""))</f>
        <v/>
      </c>
      <c r="I447" s="18">
        <f>IF(OR(H447="",NOT(ISNUMBER(D447))),"",ROUND(D447*H447,2))</f>
        <v/>
      </c>
      <c r="J447" s="6">
        <f>IF(A447&amp;""="","",IF(OR(C447="تم",C447="خسارة"),"مغلقة",IF(NOT(ISNUMBER(E447)),"بلا موعد",IF(E447&lt;'الإعدادات'!$B$4,"متأخرة",IF(E447='الإعدادات'!$B$4,"اليوم","قادمة")))))</f>
        <v/>
      </c>
      <c r="K447" s="19">
        <f>IF(OR(J447="متأخرة",J447="اليوم"),'الإعدادات'!$B$4-E447,"")</f>
        <v/>
      </c>
      <c r="L447" s="19">
        <f>IF(OR(A447&amp;""="",NOT(ISNUMBER(F447))),"",'الإعدادات'!$B$4-F447)</f>
        <v/>
      </c>
      <c r="M447" s="19">
        <f>IF(OR(J447="متأخرة",J447="اليوم"),COUNTIFS($J$6:$J$505,"متأخرة",$E$6:$E$505,"&lt;"&amp;E447)+COUNTIFS($J$6:$J$505,"اليوم",$E$6:$E$505,"&lt;"&amp;E447)+COUNTIFS($E$6:E447,E447&amp;"",$J$6:J447,J447),"")</f>
        <v/>
      </c>
    </row>
    <row r="448">
      <c r="A448" s="5" t="n"/>
      <c r="B448" s="5" t="n"/>
      <c r="C448" s="5" t="n"/>
      <c r="D448" s="16" t="n"/>
      <c r="E448" s="13" t="n"/>
      <c r="F448" s="13" t="n"/>
      <c r="G448" s="5" t="n"/>
      <c r="H448" s="17">
        <f>IF(C448&amp;""="","",IFERROR(VLOOKUP(C448,'الإعدادات'!$A$8:$B$13,2,FALSE),""))</f>
        <v/>
      </c>
      <c r="I448" s="18">
        <f>IF(OR(H448="",NOT(ISNUMBER(D448))),"",ROUND(D448*H448,2))</f>
        <v/>
      </c>
      <c r="J448" s="6">
        <f>IF(A448&amp;""="","",IF(OR(C448="تم",C448="خسارة"),"مغلقة",IF(NOT(ISNUMBER(E448)),"بلا موعد",IF(E448&lt;'الإعدادات'!$B$4,"متأخرة",IF(E448='الإعدادات'!$B$4,"اليوم","قادمة")))))</f>
        <v/>
      </c>
      <c r="K448" s="19">
        <f>IF(OR(J448="متأخرة",J448="اليوم"),'الإعدادات'!$B$4-E448,"")</f>
        <v/>
      </c>
      <c r="L448" s="19">
        <f>IF(OR(A448&amp;""="",NOT(ISNUMBER(F448))),"",'الإعدادات'!$B$4-F448)</f>
        <v/>
      </c>
      <c r="M448" s="19">
        <f>IF(OR(J448="متأخرة",J448="اليوم"),COUNTIFS($J$6:$J$505,"متأخرة",$E$6:$E$505,"&lt;"&amp;E448)+COUNTIFS($J$6:$J$505,"اليوم",$E$6:$E$505,"&lt;"&amp;E448)+COUNTIFS($E$6:E448,E448&amp;"",$J$6:J448,J448),"")</f>
        <v/>
      </c>
    </row>
    <row r="449">
      <c r="A449" s="5" t="n"/>
      <c r="B449" s="5" t="n"/>
      <c r="C449" s="5" t="n"/>
      <c r="D449" s="16" t="n"/>
      <c r="E449" s="13" t="n"/>
      <c r="F449" s="13" t="n"/>
      <c r="G449" s="5" t="n"/>
      <c r="H449" s="17">
        <f>IF(C449&amp;""="","",IFERROR(VLOOKUP(C449,'الإعدادات'!$A$8:$B$13,2,FALSE),""))</f>
        <v/>
      </c>
      <c r="I449" s="18">
        <f>IF(OR(H449="",NOT(ISNUMBER(D449))),"",ROUND(D449*H449,2))</f>
        <v/>
      </c>
      <c r="J449" s="6">
        <f>IF(A449&amp;""="","",IF(OR(C449="تم",C449="خسارة"),"مغلقة",IF(NOT(ISNUMBER(E449)),"بلا موعد",IF(E449&lt;'الإعدادات'!$B$4,"متأخرة",IF(E449='الإعدادات'!$B$4,"اليوم","قادمة")))))</f>
        <v/>
      </c>
      <c r="K449" s="19">
        <f>IF(OR(J449="متأخرة",J449="اليوم"),'الإعدادات'!$B$4-E449,"")</f>
        <v/>
      </c>
      <c r="L449" s="19">
        <f>IF(OR(A449&amp;""="",NOT(ISNUMBER(F449))),"",'الإعدادات'!$B$4-F449)</f>
        <v/>
      </c>
      <c r="M449" s="19">
        <f>IF(OR(J449="متأخرة",J449="اليوم"),COUNTIFS($J$6:$J$505,"متأخرة",$E$6:$E$505,"&lt;"&amp;E449)+COUNTIFS($J$6:$J$505,"اليوم",$E$6:$E$505,"&lt;"&amp;E449)+COUNTIFS($E$6:E449,E449&amp;"",$J$6:J449,J449),"")</f>
        <v/>
      </c>
    </row>
    <row r="450">
      <c r="A450" s="5" t="n"/>
      <c r="B450" s="5" t="n"/>
      <c r="C450" s="5" t="n"/>
      <c r="D450" s="16" t="n"/>
      <c r="E450" s="13" t="n"/>
      <c r="F450" s="13" t="n"/>
      <c r="G450" s="5" t="n"/>
      <c r="H450" s="17">
        <f>IF(C450&amp;""="","",IFERROR(VLOOKUP(C450,'الإعدادات'!$A$8:$B$13,2,FALSE),""))</f>
        <v/>
      </c>
      <c r="I450" s="18">
        <f>IF(OR(H450="",NOT(ISNUMBER(D450))),"",ROUND(D450*H450,2))</f>
        <v/>
      </c>
      <c r="J450" s="6">
        <f>IF(A450&amp;""="","",IF(OR(C450="تم",C450="خسارة"),"مغلقة",IF(NOT(ISNUMBER(E450)),"بلا موعد",IF(E450&lt;'الإعدادات'!$B$4,"متأخرة",IF(E450='الإعدادات'!$B$4,"اليوم","قادمة")))))</f>
        <v/>
      </c>
      <c r="K450" s="19">
        <f>IF(OR(J450="متأخرة",J450="اليوم"),'الإعدادات'!$B$4-E450,"")</f>
        <v/>
      </c>
      <c r="L450" s="19">
        <f>IF(OR(A450&amp;""="",NOT(ISNUMBER(F450))),"",'الإعدادات'!$B$4-F450)</f>
        <v/>
      </c>
      <c r="M450" s="19">
        <f>IF(OR(J450="متأخرة",J450="اليوم"),COUNTIFS($J$6:$J$505,"متأخرة",$E$6:$E$505,"&lt;"&amp;E450)+COUNTIFS($J$6:$J$505,"اليوم",$E$6:$E$505,"&lt;"&amp;E450)+COUNTIFS($E$6:E450,E450&amp;"",$J$6:J450,J450),"")</f>
        <v/>
      </c>
    </row>
    <row r="451">
      <c r="A451" s="5" t="n"/>
      <c r="B451" s="5" t="n"/>
      <c r="C451" s="5" t="n"/>
      <c r="D451" s="16" t="n"/>
      <c r="E451" s="13" t="n"/>
      <c r="F451" s="13" t="n"/>
      <c r="G451" s="5" t="n"/>
      <c r="H451" s="17">
        <f>IF(C451&amp;""="","",IFERROR(VLOOKUP(C451,'الإعدادات'!$A$8:$B$13,2,FALSE),""))</f>
        <v/>
      </c>
      <c r="I451" s="18">
        <f>IF(OR(H451="",NOT(ISNUMBER(D451))),"",ROUND(D451*H451,2))</f>
        <v/>
      </c>
      <c r="J451" s="6">
        <f>IF(A451&amp;""="","",IF(OR(C451="تم",C451="خسارة"),"مغلقة",IF(NOT(ISNUMBER(E451)),"بلا موعد",IF(E451&lt;'الإعدادات'!$B$4,"متأخرة",IF(E451='الإعدادات'!$B$4,"اليوم","قادمة")))))</f>
        <v/>
      </c>
      <c r="K451" s="19">
        <f>IF(OR(J451="متأخرة",J451="اليوم"),'الإعدادات'!$B$4-E451,"")</f>
        <v/>
      </c>
      <c r="L451" s="19">
        <f>IF(OR(A451&amp;""="",NOT(ISNUMBER(F451))),"",'الإعدادات'!$B$4-F451)</f>
        <v/>
      </c>
      <c r="M451" s="19">
        <f>IF(OR(J451="متأخرة",J451="اليوم"),COUNTIFS($J$6:$J$505,"متأخرة",$E$6:$E$505,"&lt;"&amp;E451)+COUNTIFS($J$6:$J$505,"اليوم",$E$6:$E$505,"&lt;"&amp;E451)+COUNTIFS($E$6:E451,E451&amp;"",$J$6:J451,J451),"")</f>
        <v/>
      </c>
    </row>
    <row r="452">
      <c r="A452" s="5" t="n"/>
      <c r="B452" s="5" t="n"/>
      <c r="C452" s="5" t="n"/>
      <c r="D452" s="16" t="n"/>
      <c r="E452" s="13" t="n"/>
      <c r="F452" s="13" t="n"/>
      <c r="G452" s="5" t="n"/>
      <c r="H452" s="17">
        <f>IF(C452&amp;""="","",IFERROR(VLOOKUP(C452,'الإعدادات'!$A$8:$B$13,2,FALSE),""))</f>
        <v/>
      </c>
      <c r="I452" s="18">
        <f>IF(OR(H452="",NOT(ISNUMBER(D452))),"",ROUND(D452*H452,2))</f>
        <v/>
      </c>
      <c r="J452" s="6">
        <f>IF(A452&amp;""="","",IF(OR(C452="تم",C452="خسارة"),"مغلقة",IF(NOT(ISNUMBER(E452)),"بلا موعد",IF(E452&lt;'الإعدادات'!$B$4,"متأخرة",IF(E452='الإعدادات'!$B$4,"اليوم","قادمة")))))</f>
        <v/>
      </c>
      <c r="K452" s="19">
        <f>IF(OR(J452="متأخرة",J452="اليوم"),'الإعدادات'!$B$4-E452,"")</f>
        <v/>
      </c>
      <c r="L452" s="19">
        <f>IF(OR(A452&amp;""="",NOT(ISNUMBER(F452))),"",'الإعدادات'!$B$4-F452)</f>
        <v/>
      </c>
      <c r="M452" s="19">
        <f>IF(OR(J452="متأخرة",J452="اليوم"),COUNTIFS($J$6:$J$505,"متأخرة",$E$6:$E$505,"&lt;"&amp;E452)+COUNTIFS($J$6:$J$505,"اليوم",$E$6:$E$505,"&lt;"&amp;E452)+COUNTIFS($E$6:E452,E452&amp;"",$J$6:J452,J452),"")</f>
        <v/>
      </c>
    </row>
    <row r="453">
      <c r="A453" s="5" t="n"/>
      <c r="B453" s="5" t="n"/>
      <c r="C453" s="5" t="n"/>
      <c r="D453" s="16" t="n"/>
      <c r="E453" s="13" t="n"/>
      <c r="F453" s="13" t="n"/>
      <c r="G453" s="5" t="n"/>
      <c r="H453" s="17">
        <f>IF(C453&amp;""="","",IFERROR(VLOOKUP(C453,'الإعدادات'!$A$8:$B$13,2,FALSE),""))</f>
        <v/>
      </c>
      <c r="I453" s="18">
        <f>IF(OR(H453="",NOT(ISNUMBER(D453))),"",ROUND(D453*H453,2))</f>
        <v/>
      </c>
      <c r="J453" s="6">
        <f>IF(A453&amp;""="","",IF(OR(C453="تم",C453="خسارة"),"مغلقة",IF(NOT(ISNUMBER(E453)),"بلا موعد",IF(E453&lt;'الإعدادات'!$B$4,"متأخرة",IF(E453='الإعدادات'!$B$4,"اليوم","قادمة")))))</f>
        <v/>
      </c>
      <c r="K453" s="19">
        <f>IF(OR(J453="متأخرة",J453="اليوم"),'الإعدادات'!$B$4-E453,"")</f>
        <v/>
      </c>
      <c r="L453" s="19">
        <f>IF(OR(A453&amp;""="",NOT(ISNUMBER(F453))),"",'الإعدادات'!$B$4-F453)</f>
        <v/>
      </c>
      <c r="M453" s="19">
        <f>IF(OR(J453="متأخرة",J453="اليوم"),COUNTIFS($J$6:$J$505,"متأخرة",$E$6:$E$505,"&lt;"&amp;E453)+COUNTIFS($J$6:$J$505,"اليوم",$E$6:$E$505,"&lt;"&amp;E453)+COUNTIFS($E$6:E453,E453&amp;"",$J$6:J453,J453),"")</f>
        <v/>
      </c>
    </row>
    <row r="454">
      <c r="A454" s="5" t="n"/>
      <c r="B454" s="5" t="n"/>
      <c r="C454" s="5" t="n"/>
      <c r="D454" s="16" t="n"/>
      <c r="E454" s="13" t="n"/>
      <c r="F454" s="13" t="n"/>
      <c r="G454" s="5" t="n"/>
      <c r="H454" s="17">
        <f>IF(C454&amp;""="","",IFERROR(VLOOKUP(C454,'الإعدادات'!$A$8:$B$13,2,FALSE),""))</f>
        <v/>
      </c>
      <c r="I454" s="18">
        <f>IF(OR(H454="",NOT(ISNUMBER(D454))),"",ROUND(D454*H454,2))</f>
        <v/>
      </c>
      <c r="J454" s="6">
        <f>IF(A454&amp;""="","",IF(OR(C454="تم",C454="خسارة"),"مغلقة",IF(NOT(ISNUMBER(E454)),"بلا موعد",IF(E454&lt;'الإعدادات'!$B$4,"متأخرة",IF(E454='الإعدادات'!$B$4,"اليوم","قادمة")))))</f>
        <v/>
      </c>
      <c r="K454" s="19">
        <f>IF(OR(J454="متأخرة",J454="اليوم"),'الإعدادات'!$B$4-E454,"")</f>
        <v/>
      </c>
      <c r="L454" s="19">
        <f>IF(OR(A454&amp;""="",NOT(ISNUMBER(F454))),"",'الإعدادات'!$B$4-F454)</f>
        <v/>
      </c>
      <c r="M454" s="19">
        <f>IF(OR(J454="متأخرة",J454="اليوم"),COUNTIFS($J$6:$J$505,"متأخرة",$E$6:$E$505,"&lt;"&amp;E454)+COUNTIFS($J$6:$J$505,"اليوم",$E$6:$E$505,"&lt;"&amp;E454)+COUNTIFS($E$6:E454,E454&amp;"",$J$6:J454,J454),"")</f>
        <v/>
      </c>
    </row>
    <row r="455">
      <c r="A455" s="5" t="n"/>
      <c r="B455" s="5" t="n"/>
      <c r="C455" s="5" t="n"/>
      <c r="D455" s="16" t="n"/>
      <c r="E455" s="13" t="n"/>
      <c r="F455" s="13" t="n"/>
      <c r="G455" s="5" t="n"/>
      <c r="H455" s="17">
        <f>IF(C455&amp;""="","",IFERROR(VLOOKUP(C455,'الإعدادات'!$A$8:$B$13,2,FALSE),""))</f>
        <v/>
      </c>
      <c r="I455" s="18">
        <f>IF(OR(H455="",NOT(ISNUMBER(D455))),"",ROUND(D455*H455,2))</f>
        <v/>
      </c>
      <c r="J455" s="6">
        <f>IF(A455&amp;""="","",IF(OR(C455="تم",C455="خسارة"),"مغلقة",IF(NOT(ISNUMBER(E455)),"بلا موعد",IF(E455&lt;'الإعدادات'!$B$4,"متأخرة",IF(E455='الإعدادات'!$B$4,"اليوم","قادمة")))))</f>
        <v/>
      </c>
      <c r="K455" s="19">
        <f>IF(OR(J455="متأخرة",J455="اليوم"),'الإعدادات'!$B$4-E455,"")</f>
        <v/>
      </c>
      <c r="L455" s="19">
        <f>IF(OR(A455&amp;""="",NOT(ISNUMBER(F455))),"",'الإعدادات'!$B$4-F455)</f>
        <v/>
      </c>
      <c r="M455" s="19">
        <f>IF(OR(J455="متأخرة",J455="اليوم"),COUNTIFS($J$6:$J$505,"متأخرة",$E$6:$E$505,"&lt;"&amp;E455)+COUNTIFS($J$6:$J$505,"اليوم",$E$6:$E$505,"&lt;"&amp;E455)+COUNTIFS($E$6:E455,E455&amp;"",$J$6:J455,J455),"")</f>
        <v/>
      </c>
    </row>
    <row r="456">
      <c r="A456" s="5" t="n"/>
      <c r="B456" s="5" t="n"/>
      <c r="C456" s="5" t="n"/>
      <c r="D456" s="16" t="n"/>
      <c r="E456" s="13" t="n"/>
      <c r="F456" s="13" t="n"/>
      <c r="G456" s="5" t="n"/>
      <c r="H456" s="17">
        <f>IF(C456&amp;""="","",IFERROR(VLOOKUP(C456,'الإعدادات'!$A$8:$B$13,2,FALSE),""))</f>
        <v/>
      </c>
      <c r="I456" s="18">
        <f>IF(OR(H456="",NOT(ISNUMBER(D456))),"",ROUND(D456*H456,2))</f>
        <v/>
      </c>
      <c r="J456" s="6">
        <f>IF(A456&amp;""="","",IF(OR(C456="تم",C456="خسارة"),"مغلقة",IF(NOT(ISNUMBER(E456)),"بلا موعد",IF(E456&lt;'الإعدادات'!$B$4,"متأخرة",IF(E456='الإعدادات'!$B$4,"اليوم","قادمة")))))</f>
        <v/>
      </c>
      <c r="K456" s="19">
        <f>IF(OR(J456="متأخرة",J456="اليوم"),'الإعدادات'!$B$4-E456,"")</f>
        <v/>
      </c>
      <c r="L456" s="19">
        <f>IF(OR(A456&amp;""="",NOT(ISNUMBER(F456))),"",'الإعدادات'!$B$4-F456)</f>
        <v/>
      </c>
      <c r="M456" s="19">
        <f>IF(OR(J456="متأخرة",J456="اليوم"),COUNTIFS($J$6:$J$505,"متأخرة",$E$6:$E$505,"&lt;"&amp;E456)+COUNTIFS($J$6:$J$505,"اليوم",$E$6:$E$505,"&lt;"&amp;E456)+COUNTIFS($E$6:E456,E456&amp;"",$J$6:J456,J456),"")</f>
        <v/>
      </c>
    </row>
    <row r="457">
      <c r="A457" s="5" t="n"/>
      <c r="B457" s="5" t="n"/>
      <c r="C457" s="5" t="n"/>
      <c r="D457" s="16" t="n"/>
      <c r="E457" s="13" t="n"/>
      <c r="F457" s="13" t="n"/>
      <c r="G457" s="5" t="n"/>
      <c r="H457" s="17">
        <f>IF(C457&amp;""="","",IFERROR(VLOOKUP(C457,'الإعدادات'!$A$8:$B$13,2,FALSE),""))</f>
        <v/>
      </c>
      <c r="I457" s="18">
        <f>IF(OR(H457="",NOT(ISNUMBER(D457))),"",ROUND(D457*H457,2))</f>
        <v/>
      </c>
      <c r="J457" s="6">
        <f>IF(A457&amp;""="","",IF(OR(C457="تم",C457="خسارة"),"مغلقة",IF(NOT(ISNUMBER(E457)),"بلا موعد",IF(E457&lt;'الإعدادات'!$B$4,"متأخرة",IF(E457='الإعدادات'!$B$4,"اليوم","قادمة")))))</f>
        <v/>
      </c>
      <c r="K457" s="19">
        <f>IF(OR(J457="متأخرة",J457="اليوم"),'الإعدادات'!$B$4-E457,"")</f>
        <v/>
      </c>
      <c r="L457" s="19">
        <f>IF(OR(A457&amp;""="",NOT(ISNUMBER(F457))),"",'الإعدادات'!$B$4-F457)</f>
        <v/>
      </c>
      <c r="M457" s="19">
        <f>IF(OR(J457="متأخرة",J457="اليوم"),COUNTIFS($J$6:$J$505,"متأخرة",$E$6:$E$505,"&lt;"&amp;E457)+COUNTIFS($J$6:$J$505,"اليوم",$E$6:$E$505,"&lt;"&amp;E457)+COUNTIFS($E$6:E457,E457&amp;"",$J$6:J457,J457),"")</f>
        <v/>
      </c>
    </row>
    <row r="458">
      <c r="A458" s="5" t="n"/>
      <c r="B458" s="5" t="n"/>
      <c r="C458" s="5" t="n"/>
      <c r="D458" s="16" t="n"/>
      <c r="E458" s="13" t="n"/>
      <c r="F458" s="13" t="n"/>
      <c r="G458" s="5" t="n"/>
      <c r="H458" s="17">
        <f>IF(C458&amp;""="","",IFERROR(VLOOKUP(C458,'الإعدادات'!$A$8:$B$13,2,FALSE),""))</f>
        <v/>
      </c>
      <c r="I458" s="18">
        <f>IF(OR(H458="",NOT(ISNUMBER(D458))),"",ROUND(D458*H458,2))</f>
        <v/>
      </c>
      <c r="J458" s="6">
        <f>IF(A458&amp;""="","",IF(OR(C458="تم",C458="خسارة"),"مغلقة",IF(NOT(ISNUMBER(E458)),"بلا موعد",IF(E458&lt;'الإعدادات'!$B$4,"متأخرة",IF(E458='الإعدادات'!$B$4,"اليوم","قادمة")))))</f>
        <v/>
      </c>
      <c r="K458" s="19">
        <f>IF(OR(J458="متأخرة",J458="اليوم"),'الإعدادات'!$B$4-E458,"")</f>
        <v/>
      </c>
      <c r="L458" s="19">
        <f>IF(OR(A458&amp;""="",NOT(ISNUMBER(F458))),"",'الإعدادات'!$B$4-F458)</f>
        <v/>
      </c>
      <c r="M458" s="19">
        <f>IF(OR(J458="متأخرة",J458="اليوم"),COUNTIFS($J$6:$J$505,"متأخرة",$E$6:$E$505,"&lt;"&amp;E458)+COUNTIFS($J$6:$J$505,"اليوم",$E$6:$E$505,"&lt;"&amp;E458)+COUNTIFS($E$6:E458,E458&amp;"",$J$6:J458,J458),"")</f>
        <v/>
      </c>
    </row>
    <row r="459">
      <c r="A459" s="5" t="n"/>
      <c r="B459" s="5" t="n"/>
      <c r="C459" s="5" t="n"/>
      <c r="D459" s="16" t="n"/>
      <c r="E459" s="13" t="n"/>
      <c r="F459" s="13" t="n"/>
      <c r="G459" s="5" t="n"/>
      <c r="H459" s="17">
        <f>IF(C459&amp;""="","",IFERROR(VLOOKUP(C459,'الإعدادات'!$A$8:$B$13,2,FALSE),""))</f>
        <v/>
      </c>
      <c r="I459" s="18">
        <f>IF(OR(H459="",NOT(ISNUMBER(D459))),"",ROUND(D459*H459,2))</f>
        <v/>
      </c>
      <c r="J459" s="6">
        <f>IF(A459&amp;""="","",IF(OR(C459="تم",C459="خسارة"),"مغلقة",IF(NOT(ISNUMBER(E459)),"بلا موعد",IF(E459&lt;'الإعدادات'!$B$4,"متأخرة",IF(E459='الإعدادات'!$B$4,"اليوم","قادمة")))))</f>
        <v/>
      </c>
      <c r="K459" s="19">
        <f>IF(OR(J459="متأخرة",J459="اليوم"),'الإعدادات'!$B$4-E459,"")</f>
        <v/>
      </c>
      <c r="L459" s="19">
        <f>IF(OR(A459&amp;""="",NOT(ISNUMBER(F459))),"",'الإعدادات'!$B$4-F459)</f>
        <v/>
      </c>
      <c r="M459" s="19">
        <f>IF(OR(J459="متأخرة",J459="اليوم"),COUNTIFS($J$6:$J$505,"متأخرة",$E$6:$E$505,"&lt;"&amp;E459)+COUNTIFS($J$6:$J$505,"اليوم",$E$6:$E$505,"&lt;"&amp;E459)+COUNTIFS($E$6:E459,E459&amp;"",$J$6:J459,J459),"")</f>
        <v/>
      </c>
    </row>
    <row r="460">
      <c r="A460" s="5" t="n"/>
      <c r="B460" s="5" t="n"/>
      <c r="C460" s="5" t="n"/>
      <c r="D460" s="16" t="n"/>
      <c r="E460" s="13" t="n"/>
      <c r="F460" s="13" t="n"/>
      <c r="G460" s="5" t="n"/>
      <c r="H460" s="17">
        <f>IF(C460&amp;""="","",IFERROR(VLOOKUP(C460,'الإعدادات'!$A$8:$B$13,2,FALSE),""))</f>
        <v/>
      </c>
      <c r="I460" s="18">
        <f>IF(OR(H460="",NOT(ISNUMBER(D460))),"",ROUND(D460*H460,2))</f>
        <v/>
      </c>
      <c r="J460" s="6">
        <f>IF(A460&amp;""="","",IF(OR(C460="تم",C460="خسارة"),"مغلقة",IF(NOT(ISNUMBER(E460)),"بلا موعد",IF(E460&lt;'الإعدادات'!$B$4,"متأخرة",IF(E460='الإعدادات'!$B$4,"اليوم","قادمة")))))</f>
        <v/>
      </c>
      <c r="K460" s="19">
        <f>IF(OR(J460="متأخرة",J460="اليوم"),'الإعدادات'!$B$4-E460,"")</f>
        <v/>
      </c>
      <c r="L460" s="19">
        <f>IF(OR(A460&amp;""="",NOT(ISNUMBER(F460))),"",'الإعدادات'!$B$4-F460)</f>
        <v/>
      </c>
      <c r="M460" s="19">
        <f>IF(OR(J460="متأخرة",J460="اليوم"),COUNTIFS($J$6:$J$505,"متأخرة",$E$6:$E$505,"&lt;"&amp;E460)+COUNTIFS($J$6:$J$505,"اليوم",$E$6:$E$505,"&lt;"&amp;E460)+COUNTIFS($E$6:E460,E460&amp;"",$J$6:J460,J460),"")</f>
        <v/>
      </c>
    </row>
    <row r="461">
      <c r="A461" s="5" t="n"/>
      <c r="B461" s="5" t="n"/>
      <c r="C461" s="5" t="n"/>
      <c r="D461" s="16" t="n"/>
      <c r="E461" s="13" t="n"/>
      <c r="F461" s="13" t="n"/>
      <c r="G461" s="5" t="n"/>
      <c r="H461" s="17">
        <f>IF(C461&amp;""="","",IFERROR(VLOOKUP(C461,'الإعدادات'!$A$8:$B$13,2,FALSE),""))</f>
        <v/>
      </c>
      <c r="I461" s="18">
        <f>IF(OR(H461="",NOT(ISNUMBER(D461))),"",ROUND(D461*H461,2))</f>
        <v/>
      </c>
      <c r="J461" s="6">
        <f>IF(A461&amp;""="","",IF(OR(C461="تم",C461="خسارة"),"مغلقة",IF(NOT(ISNUMBER(E461)),"بلا موعد",IF(E461&lt;'الإعدادات'!$B$4,"متأخرة",IF(E461='الإعدادات'!$B$4,"اليوم","قادمة")))))</f>
        <v/>
      </c>
      <c r="K461" s="19">
        <f>IF(OR(J461="متأخرة",J461="اليوم"),'الإعدادات'!$B$4-E461,"")</f>
        <v/>
      </c>
      <c r="L461" s="19">
        <f>IF(OR(A461&amp;""="",NOT(ISNUMBER(F461))),"",'الإعدادات'!$B$4-F461)</f>
        <v/>
      </c>
      <c r="M461" s="19">
        <f>IF(OR(J461="متأخرة",J461="اليوم"),COUNTIFS($J$6:$J$505,"متأخرة",$E$6:$E$505,"&lt;"&amp;E461)+COUNTIFS($J$6:$J$505,"اليوم",$E$6:$E$505,"&lt;"&amp;E461)+COUNTIFS($E$6:E461,E461&amp;"",$J$6:J461,J461),"")</f>
        <v/>
      </c>
    </row>
    <row r="462">
      <c r="A462" s="5" t="n"/>
      <c r="B462" s="5" t="n"/>
      <c r="C462" s="5" t="n"/>
      <c r="D462" s="16" t="n"/>
      <c r="E462" s="13" t="n"/>
      <c r="F462" s="13" t="n"/>
      <c r="G462" s="5" t="n"/>
      <c r="H462" s="17">
        <f>IF(C462&amp;""="","",IFERROR(VLOOKUP(C462,'الإعدادات'!$A$8:$B$13,2,FALSE),""))</f>
        <v/>
      </c>
      <c r="I462" s="18">
        <f>IF(OR(H462="",NOT(ISNUMBER(D462))),"",ROUND(D462*H462,2))</f>
        <v/>
      </c>
      <c r="J462" s="6">
        <f>IF(A462&amp;""="","",IF(OR(C462="تم",C462="خسارة"),"مغلقة",IF(NOT(ISNUMBER(E462)),"بلا موعد",IF(E462&lt;'الإعدادات'!$B$4,"متأخرة",IF(E462='الإعدادات'!$B$4,"اليوم","قادمة")))))</f>
        <v/>
      </c>
      <c r="K462" s="19">
        <f>IF(OR(J462="متأخرة",J462="اليوم"),'الإعدادات'!$B$4-E462,"")</f>
        <v/>
      </c>
      <c r="L462" s="19">
        <f>IF(OR(A462&amp;""="",NOT(ISNUMBER(F462))),"",'الإعدادات'!$B$4-F462)</f>
        <v/>
      </c>
      <c r="M462" s="19">
        <f>IF(OR(J462="متأخرة",J462="اليوم"),COUNTIFS($J$6:$J$505,"متأخرة",$E$6:$E$505,"&lt;"&amp;E462)+COUNTIFS($J$6:$J$505,"اليوم",$E$6:$E$505,"&lt;"&amp;E462)+COUNTIFS($E$6:E462,E462&amp;"",$J$6:J462,J462),"")</f>
        <v/>
      </c>
    </row>
    <row r="463">
      <c r="A463" s="5" t="n"/>
      <c r="B463" s="5" t="n"/>
      <c r="C463" s="5" t="n"/>
      <c r="D463" s="16" t="n"/>
      <c r="E463" s="13" t="n"/>
      <c r="F463" s="13" t="n"/>
      <c r="G463" s="5" t="n"/>
      <c r="H463" s="17">
        <f>IF(C463&amp;""="","",IFERROR(VLOOKUP(C463,'الإعدادات'!$A$8:$B$13,2,FALSE),""))</f>
        <v/>
      </c>
      <c r="I463" s="18">
        <f>IF(OR(H463="",NOT(ISNUMBER(D463))),"",ROUND(D463*H463,2))</f>
        <v/>
      </c>
      <c r="J463" s="6">
        <f>IF(A463&amp;""="","",IF(OR(C463="تم",C463="خسارة"),"مغلقة",IF(NOT(ISNUMBER(E463)),"بلا موعد",IF(E463&lt;'الإعدادات'!$B$4,"متأخرة",IF(E463='الإعدادات'!$B$4,"اليوم","قادمة")))))</f>
        <v/>
      </c>
      <c r="K463" s="19">
        <f>IF(OR(J463="متأخرة",J463="اليوم"),'الإعدادات'!$B$4-E463,"")</f>
        <v/>
      </c>
      <c r="L463" s="19">
        <f>IF(OR(A463&amp;""="",NOT(ISNUMBER(F463))),"",'الإعدادات'!$B$4-F463)</f>
        <v/>
      </c>
      <c r="M463" s="19">
        <f>IF(OR(J463="متأخرة",J463="اليوم"),COUNTIFS($J$6:$J$505,"متأخرة",$E$6:$E$505,"&lt;"&amp;E463)+COUNTIFS($J$6:$J$505,"اليوم",$E$6:$E$505,"&lt;"&amp;E463)+COUNTIFS($E$6:E463,E463&amp;"",$J$6:J463,J463),"")</f>
        <v/>
      </c>
    </row>
    <row r="464">
      <c r="A464" s="5" t="n"/>
      <c r="B464" s="5" t="n"/>
      <c r="C464" s="5" t="n"/>
      <c r="D464" s="16" t="n"/>
      <c r="E464" s="13" t="n"/>
      <c r="F464" s="13" t="n"/>
      <c r="G464" s="5" t="n"/>
      <c r="H464" s="17">
        <f>IF(C464&amp;""="","",IFERROR(VLOOKUP(C464,'الإعدادات'!$A$8:$B$13,2,FALSE),""))</f>
        <v/>
      </c>
      <c r="I464" s="18">
        <f>IF(OR(H464="",NOT(ISNUMBER(D464))),"",ROUND(D464*H464,2))</f>
        <v/>
      </c>
      <c r="J464" s="6">
        <f>IF(A464&amp;""="","",IF(OR(C464="تم",C464="خسارة"),"مغلقة",IF(NOT(ISNUMBER(E464)),"بلا موعد",IF(E464&lt;'الإعدادات'!$B$4,"متأخرة",IF(E464='الإعدادات'!$B$4,"اليوم","قادمة")))))</f>
        <v/>
      </c>
      <c r="K464" s="19">
        <f>IF(OR(J464="متأخرة",J464="اليوم"),'الإعدادات'!$B$4-E464,"")</f>
        <v/>
      </c>
      <c r="L464" s="19">
        <f>IF(OR(A464&amp;""="",NOT(ISNUMBER(F464))),"",'الإعدادات'!$B$4-F464)</f>
        <v/>
      </c>
      <c r="M464" s="19">
        <f>IF(OR(J464="متأخرة",J464="اليوم"),COUNTIFS($J$6:$J$505,"متأخرة",$E$6:$E$505,"&lt;"&amp;E464)+COUNTIFS($J$6:$J$505,"اليوم",$E$6:$E$505,"&lt;"&amp;E464)+COUNTIFS($E$6:E464,E464&amp;"",$J$6:J464,J464),"")</f>
        <v/>
      </c>
    </row>
    <row r="465">
      <c r="A465" s="5" t="n"/>
      <c r="B465" s="5" t="n"/>
      <c r="C465" s="5" t="n"/>
      <c r="D465" s="16" t="n"/>
      <c r="E465" s="13" t="n"/>
      <c r="F465" s="13" t="n"/>
      <c r="G465" s="5" t="n"/>
      <c r="H465" s="17">
        <f>IF(C465&amp;""="","",IFERROR(VLOOKUP(C465,'الإعدادات'!$A$8:$B$13,2,FALSE),""))</f>
        <v/>
      </c>
      <c r="I465" s="18">
        <f>IF(OR(H465="",NOT(ISNUMBER(D465))),"",ROUND(D465*H465,2))</f>
        <v/>
      </c>
      <c r="J465" s="6">
        <f>IF(A465&amp;""="","",IF(OR(C465="تم",C465="خسارة"),"مغلقة",IF(NOT(ISNUMBER(E465)),"بلا موعد",IF(E465&lt;'الإعدادات'!$B$4,"متأخرة",IF(E465='الإعدادات'!$B$4,"اليوم","قادمة")))))</f>
        <v/>
      </c>
      <c r="K465" s="19">
        <f>IF(OR(J465="متأخرة",J465="اليوم"),'الإعدادات'!$B$4-E465,"")</f>
        <v/>
      </c>
      <c r="L465" s="19">
        <f>IF(OR(A465&amp;""="",NOT(ISNUMBER(F465))),"",'الإعدادات'!$B$4-F465)</f>
        <v/>
      </c>
      <c r="M465" s="19">
        <f>IF(OR(J465="متأخرة",J465="اليوم"),COUNTIFS($J$6:$J$505,"متأخرة",$E$6:$E$505,"&lt;"&amp;E465)+COUNTIFS($J$6:$J$505,"اليوم",$E$6:$E$505,"&lt;"&amp;E465)+COUNTIFS($E$6:E465,E465&amp;"",$J$6:J465,J465),"")</f>
        <v/>
      </c>
    </row>
    <row r="466">
      <c r="A466" s="5" t="n"/>
      <c r="B466" s="5" t="n"/>
      <c r="C466" s="5" t="n"/>
      <c r="D466" s="16" t="n"/>
      <c r="E466" s="13" t="n"/>
      <c r="F466" s="13" t="n"/>
      <c r="G466" s="5" t="n"/>
      <c r="H466" s="17">
        <f>IF(C466&amp;""="","",IFERROR(VLOOKUP(C466,'الإعدادات'!$A$8:$B$13,2,FALSE),""))</f>
        <v/>
      </c>
      <c r="I466" s="18">
        <f>IF(OR(H466="",NOT(ISNUMBER(D466))),"",ROUND(D466*H466,2))</f>
        <v/>
      </c>
      <c r="J466" s="6">
        <f>IF(A466&amp;""="","",IF(OR(C466="تم",C466="خسارة"),"مغلقة",IF(NOT(ISNUMBER(E466)),"بلا موعد",IF(E466&lt;'الإعدادات'!$B$4,"متأخرة",IF(E466='الإعدادات'!$B$4,"اليوم","قادمة")))))</f>
        <v/>
      </c>
      <c r="K466" s="19">
        <f>IF(OR(J466="متأخرة",J466="اليوم"),'الإعدادات'!$B$4-E466,"")</f>
        <v/>
      </c>
      <c r="L466" s="19">
        <f>IF(OR(A466&amp;""="",NOT(ISNUMBER(F466))),"",'الإعدادات'!$B$4-F466)</f>
        <v/>
      </c>
      <c r="M466" s="19">
        <f>IF(OR(J466="متأخرة",J466="اليوم"),COUNTIFS($J$6:$J$505,"متأخرة",$E$6:$E$505,"&lt;"&amp;E466)+COUNTIFS($J$6:$J$505,"اليوم",$E$6:$E$505,"&lt;"&amp;E466)+COUNTIFS($E$6:E466,E466&amp;"",$J$6:J466,J466),"")</f>
        <v/>
      </c>
    </row>
    <row r="467">
      <c r="A467" s="5" t="n"/>
      <c r="B467" s="5" t="n"/>
      <c r="C467" s="5" t="n"/>
      <c r="D467" s="16" t="n"/>
      <c r="E467" s="13" t="n"/>
      <c r="F467" s="13" t="n"/>
      <c r="G467" s="5" t="n"/>
      <c r="H467" s="17">
        <f>IF(C467&amp;""="","",IFERROR(VLOOKUP(C467,'الإعدادات'!$A$8:$B$13,2,FALSE),""))</f>
        <v/>
      </c>
      <c r="I467" s="18">
        <f>IF(OR(H467="",NOT(ISNUMBER(D467))),"",ROUND(D467*H467,2))</f>
        <v/>
      </c>
      <c r="J467" s="6">
        <f>IF(A467&amp;""="","",IF(OR(C467="تم",C467="خسارة"),"مغلقة",IF(NOT(ISNUMBER(E467)),"بلا موعد",IF(E467&lt;'الإعدادات'!$B$4,"متأخرة",IF(E467='الإعدادات'!$B$4,"اليوم","قادمة")))))</f>
        <v/>
      </c>
      <c r="K467" s="19">
        <f>IF(OR(J467="متأخرة",J467="اليوم"),'الإعدادات'!$B$4-E467,"")</f>
        <v/>
      </c>
      <c r="L467" s="19">
        <f>IF(OR(A467&amp;""="",NOT(ISNUMBER(F467))),"",'الإعدادات'!$B$4-F467)</f>
        <v/>
      </c>
      <c r="M467" s="19">
        <f>IF(OR(J467="متأخرة",J467="اليوم"),COUNTIFS($J$6:$J$505,"متأخرة",$E$6:$E$505,"&lt;"&amp;E467)+COUNTIFS($J$6:$J$505,"اليوم",$E$6:$E$505,"&lt;"&amp;E467)+COUNTIFS($E$6:E467,E467&amp;"",$J$6:J467,J467),"")</f>
        <v/>
      </c>
    </row>
    <row r="468">
      <c r="A468" s="5" t="n"/>
      <c r="B468" s="5" t="n"/>
      <c r="C468" s="5" t="n"/>
      <c r="D468" s="16" t="n"/>
      <c r="E468" s="13" t="n"/>
      <c r="F468" s="13" t="n"/>
      <c r="G468" s="5" t="n"/>
      <c r="H468" s="17">
        <f>IF(C468&amp;""="","",IFERROR(VLOOKUP(C468,'الإعدادات'!$A$8:$B$13,2,FALSE),""))</f>
        <v/>
      </c>
      <c r="I468" s="18">
        <f>IF(OR(H468="",NOT(ISNUMBER(D468))),"",ROUND(D468*H468,2))</f>
        <v/>
      </c>
      <c r="J468" s="6">
        <f>IF(A468&amp;""="","",IF(OR(C468="تم",C468="خسارة"),"مغلقة",IF(NOT(ISNUMBER(E468)),"بلا موعد",IF(E468&lt;'الإعدادات'!$B$4,"متأخرة",IF(E468='الإعدادات'!$B$4,"اليوم","قادمة")))))</f>
        <v/>
      </c>
      <c r="K468" s="19">
        <f>IF(OR(J468="متأخرة",J468="اليوم"),'الإعدادات'!$B$4-E468,"")</f>
        <v/>
      </c>
      <c r="L468" s="19">
        <f>IF(OR(A468&amp;""="",NOT(ISNUMBER(F468))),"",'الإعدادات'!$B$4-F468)</f>
        <v/>
      </c>
      <c r="M468" s="19">
        <f>IF(OR(J468="متأخرة",J468="اليوم"),COUNTIFS($J$6:$J$505,"متأخرة",$E$6:$E$505,"&lt;"&amp;E468)+COUNTIFS($J$6:$J$505,"اليوم",$E$6:$E$505,"&lt;"&amp;E468)+COUNTIFS($E$6:E468,E468&amp;"",$J$6:J468,J468),"")</f>
        <v/>
      </c>
    </row>
    <row r="469">
      <c r="A469" s="5" t="n"/>
      <c r="B469" s="5" t="n"/>
      <c r="C469" s="5" t="n"/>
      <c r="D469" s="16" t="n"/>
      <c r="E469" s="13" t="n"/>
      <c r="F469" s="13" t="n"/>
      <c r="G469" s="5" t="n"/>
      <c r="H469" s="17">
        <f>IF(C469&amp;""="","",IFERROR(VLOOKUP(C469,'الإعدادات'!$A$8:$B$13,2,FALSE),""))</f>
        <v/>
      </c>
      <c r="I469" s="18">
        <f>IF(OR(H469="",NOT(ISNUMBER(D469))),"",ROUND(D469*H469,2))</f>
        <v/>
      </c>
      <c r="J469" s="6">
        <f>IF(A469&amp;""="","",IF(OR(C469="تم",C469="خسارة"),"مغلقة",IF(NOT(ISNUMBER(E469)),"بلا موعد",IF(E469&lt;'الإعدادات'!$B$4,"متأخرة",IF(E469='الإعدادات'!$B$4,"اليوم","قادمة")))))</f>
        <v/>
      </c>
      <c r="K469" s="19">
        <f>IF(OR(J469="متأخرة",J469="اليوم"),'الإعدادات'!$B$4-E469,"")</f>
        <v/>
      </c>
      <c r="L469" s="19">
        <f>IF(OR(A469&amp;""="",NOT(ISNUMBER(F469))),"",'الإعدادات'!$B$4-F469)</f>
        <v/>
      </c>
      <c r="M469" s="19">
        <f>IF(OR(J469="متأخرة",J469="اليوم"),COUNTIFS($J$6:$J$505,"متأخرة",$E$6:$E$505,"&lt;"&amp;E469)+COUNTIFS($J$6:$J$505,"اليوم",$E$6:$E$505,"&lt;"&amp;E469)+COUNTIFS($E$6:E469,E469&amp;"",$J$6:J469,J469),"")</f>
        <v/>
      </c>
    </row>
    <row r="470">
      <c r="A470" s="5" t="n"/>
      <c r="B470" s="5" t="n"/>
      <c r="C470" s="5" t="n"/>
      <c r="D470" s="16" t="n"/>
      <c r="E470" s="13" t="n"/>
      <c r="F470" s="13" t="n"/>
      <c r="G470" s="5" t="n"/>
      <c r="H470" s="17">
        <f>IF(C470&amp;""="","",IFERROR(VLOOKUP(C470,'الإعدادات'!$A$8:$B$13,2,FALSE),""))</f>
        <v/>
      </c>
      <c r="I470" s="18">
        <f>IF(OR(H470="",NOT(ISNUMBER(D470))),"",ROUND(D470*H470,2))</f>
        <v/>
      </c>
      <c r="J470" s="6">
        <f>IF(A470&amp;""="","",IF(OR(C470="تم",C470="خسارة"),"مغلقة",IF(NOT(ISNUMBER(E470)),"بلا موعد",IF(E470&lt;'الإعدادات'!$B$4,"متأخرة",IF(E470='الإعدادات'!$B$4,"اليوم","قادمة")))))</f>
        <v/>
      </c>
      <c r="K470" s="19">
        <f>IF(OR(J470="متأخرة",J470="اليوم"),'الإعدادات'!$B$4-E470,"")</f>
        <v/>
      </c>
      <c r="L470" s="19">
        <f>IF(OR(A470&amp;""="",NOT(ISNUMBER(F470))),"",'الإعدادات'!$B$4-F470)</f>
        <v/>
      </c>
      <c r="M470" s="19">
        <f>IF(OR(J470="متأخرة",J470="اليوم"),COUNTIFS($J$6:$J$505,"متأخرة",$E$6:$E$505,"&lt;"&amp;E470)+COUNTIFS($J$6:$J$505,"اليوم",$E$6:$E$505,"&lt;"&amp;E470)+COUNTIFS($E$6:E470,E470&amp;"",$J$6:J470,J470),"")</f>
        <v/>
      </c>
    </row>
    <row r="471">
      <c r="A471" s="5" t="n"/>
      <c r="B471" s="5" t="n"/>
      <c r="C471" s="5" t="n"/>
      <c r="D471" s="16" t="n"/>
      <c r="E471" s="13" t="n"/>
      <c r="F471" s="13" t="n"/>
      <c r="G471" s="5" t="n"/>
      <c r="H471" s="17">
        <f>IF(C471&amp;""="","",IFERROR(VLOOKUP(C471,'الإعدادات'!$A$8:$B$13,2,FALSE),""))</f>
        <v/>
      </c>
      <c r="I471" s="18">
        <f>IF(OR(H471="",NOT(ISNUMBER(D471))),"",ROUND(D471*H471,2))</f>
        <v/>
      </c>
      <c r="J471" s="6">
        <f>IF(A471&amp;""="","",IF(OR(C471="تم",C471="خسارة"),"مغلقة",IF(NOT(ISNUMBER(E471)),"بلا موعد",IF(E471&lt;'الإعدادات'!$B$4,"متأخرة",IF(E471='الإعدادات'!$B$4,"اليوم","قادمة")))))</f>
        <v/>
      </c>
      <c r="K471" s="19">
        <f>IF(OR(J471="متأخرة",J471="اليوم"),'الإعدادات'!$B$4-E471,"")</f>
        <v/>
      </c>
      <c r="L471" s="19">
        <f>IF(OR(A471&amp;""="",NOT(ISNUMBER(F471))),"",'الإعدادات'!$B$4-F471)</f>
        <v/>
      </c>
      <c r="M471" s="19">
        <f>IF(OR(J471="متأخرة",J471="اليوم"),COUNTIFS($J$6:$J$505,"متأخرة",$E$6:$E$505,"&lt;"&amp;E471)+COUNTIFS($J$6:$J$505,"اليوم",$E$6:$E$505,"&lt;"&amp;E471)+COUNTIFS($E$6:E471,E471&amp;"",$J$6:J471,J471),"")</f>
        <v/>
      </c>
    </row>
    <row r="472">
      <c r="A472" s="5" t="n"/>
      <c r="B472" s="5" t="n"/>
      <c r="C472" s="5" t="n"/>
      <c r="D472" s="16" t="n"/>
      <c r="E472" s="13" t="n"/>
      <c r="F472" s="13" t="n"/>
      <c r="G472" s="5" t="n"/>
      <c r="H472" s="17">
        <f>IF(C472&amp;""="","",IFERROR(VLOOKUP(C472,'الإعدادات'!$A$8:$B$13,2,FALSE),""))</f>
        <v/>
      </c>
      <c r="I472" s="18">
        <f>IF(OR(H472="",NOT(ISNUMBER(D472))),"",ROUND(D472*H472,2))</f>
        <v/>
      </c>
      <c r="J472" s="6">
        <f>IF(A472&amp;""="","",IF(OR(C472="تم",C472="خسارة"),"مغلقة",IF(NOT(ISNUMBER(E472)),"بلا موعد",IF(E472&lt;'الإعدادات'!$B$4,"متأخرة",IF(E472='الإعدادات'!$B$4,"اليوم","قادمة")))))</f>
        <v/>
      </c>
      <c r="K472" s="19">
        <f>IF(OR(J472="متأخرة",J472="اليوم"),'الإعدادات'!$B$4-E472,"")</f>
        <v/>
      </c>
      <c r="L472" s="19">
        <f>IF(OR(A472&amp;""="",NOT(ISNUMBER(F472))),"",'الإعدادات'!$B$4-F472)</f>
        <v/>
      </c>
      <c r="M472" s="19">
        <f>IF(OR(J472="متأخرة",J472="اليوم"),COUNTIFS($J$6:$J$505,"متأخرة",$E$6:$E$505,"&lt;"&amp;E472)+COUNTIFS($J$6:$J$505,"اليوم",$E$6:$E$505,"&lt;"&amp;E472)+COUNTIFS($E$6:E472,E472&amp;"",$J$6:J472,J472),"")</f>
        <v/>
      </c>
    </row>
    <row r="473">
      <c r="A473" s="5" t="n"/>
      <c r="B473" s="5" t="n"/>
      <c r="C473" s="5" t="n"/>
      <c r="D473" s="16" t="n"/>
      <c r="E473" s="13" t="n"/>
      <c r="F473" s="13" t="n"/>
      <c r="G473" s="5" t="n"/>
      <c r="H473" s="17">
        <f>IF(C473&amp;""="","",IFERROR(VLOOKUP(C473,'الإعدادات'!$A$8:$B$13,2,FALSE),""))</f>
        <v/>
      </c>
      <c r="I473" s="18">
        <f>IF(OR(H473="",NOT(ISNUMBER(D473))),"",ROUND(D473*H473,2))</f>
        <v/>
      </c>
      <c r="J473" s="6">
        <f>IF(A473&amp;""="","",IF(OR(C473="تم",C473="خسارة"),"مغلقة",IF(NOT(ISNUMBER(E473)),"بلا موعد",IF(E473&lt;'الإعدادات'!$B$4,"متأخرة",IF(E473='الإعدادات'!$B$4,"اليوم","قادمة")))))</f>
        <v/>
      </c>
      <c r="K473" s="19">
        <f>IF(OR(J473="متأخرة",J473="اليوم"),'الإعدادات'!$B$4-E473,"")</f>
        <v/>
      </c>
      <c r="L473" s="19">
        <f>IF(OR(A473&amp;""="",NOT(ISNUMBER(F473))),"",'الإعدادات'!$B$4-F473)</f>
        <v/>
      </c>
      <c r="M473" s="19">
        <f>IF(OR(J473="متأخرة",J473="اليوم"),COUNTIFS($J$6:$J$505,"متأخرة",$E$6:$E$505,"&lt;"&amp;E473)+COUNTIFS($J$6:$J$505,"اليوم",$E$6:$E$505,"&lt;"&amp;E473)+COUNTIFS($E$6:E473,E473&amp;"",$J$6:J473,J473),"")</f>
        <v/>
      </c>
    </row>
    <row r="474">
      <c r="A474" s="5" t="n"/>
      <c r="B474" s="5" t="n"/>
      <c r="C474" s="5" t="n"/>
      <c r="D474" s="16" t="n"/>
      <c r="E474" s="13" t="n"/>
      <c r="F474" s="13" t="n"/>
      <c r="G474" s="5" t="n"/>
      <c r="H474" s="17">
        <f>IF(C474&amp;""="","",IFERROR(VLOOKUP(C474,'الإعدادات'!$A$8:$B$13,2,FALSE),""))</f>
        <v/>
      </c>
      <c r="I474" s="18">
        <f>IF(OR(H474="",NOT(ISNUMBER(D474))),"",ROUND(D474*H474,2))</f>
        <v/>
      </c>
      <c r="J474" s="6">
        <f>IF(A474&amp;""="","",IF(OR(C474="تم",C474="خسارة"),"مغلقة",IF(NOT(ISNUMBER(E474)),"بلا موعد",IF(E474&lt;'الإعدادات'!$B$4,"متأخرة",IF(E474='الإعدادات'!$B$4,"اليوم","قادمة")))))</f>
        <v/>
      </c>
      <c r="K474" s="19">
        <f>IF(OR(J474="متأخرة",J474="اليوم"),'الإعدادات'!$B$4-E474,"")</f>
        <v/>
      </c>
      <c r="L474" s="19">
        <f>IF(OR(A474&amp;""="",NOT(ISNUMBER(F474))),"",'الإعدادات'!$B$4-F474)</f>
        <v/>
      </c>
      <c r="M474" s="19">
        <f>IF(OR(J474="متأخرة",J474="اليوم"),COUNTIFS($J$6:$J$505,"متأخرة",$E$6:$E$505,"&lt;"&amp;E474)+COUNTIFS($J$6:$J$505,"اليوم",$E$6:$E$505,"&lt;"&amp;E474)+COUNTIFS($E$6:E474,E474&amp;"",$J$6:J474,J474),"")</f>
        <v/>
      </c>
    </row>
    <row r="475">
      <c r="A475" s="5" t="n"/>
      <c r="B475" s="5" t="n"/>
      <c r="C475" s="5" t="n"/>
      <c r="D475" s="16" t="n"/>
      <c r="E475" s="13" t="n"/>
      <c r="F475" s="13" t="n"/>
      <c r="G475" s="5" t="n"/>
      <c r="H475" s="17">
        <f>IF(C475&amp;""="","",IFERROR(VLOOKUP(C475,'الإعدادات'!$A$8:$B$13,2,FALSE),""))</f>
        <v/>
      </c>
      <c r="I475" s="18">
        <f>IF(OR(H475="",NOT(ISNUMBER(D475))),"",ROUND(D475*H475,2))</f>
        <v/>
      </c>
      <c r="J475" s="6">
        <f>IF(A475&amp;""="","",IF(OR(C475="تم",C475="خسارة"),"مغلقة",IF(NOT(ISNUMBER(E475)),"بلا موعد",IF(E475&lt;'الإعدادات'!$B$4,"متأخرة",IF(E475='الإعدادات'!$B$4,"اليوم","قادمة")))))</f>
        <v/>
      </c>
      <c r="K475" s="19">
        <f>IF(OR(J475="متأخرة",J475="اليوم"),'الإعدادات'!$B$4-E475,"")</f>
        <v/>
      </c>
      <c r="L475" s="19">
        <f>IF(OR(A475&amp;""="",NOT(ISNUMBER(F475))),"",'الإعدادات'!$B$4-F475)</f>
        <v/>
      </c>
      <c r="M475" s="19">
        <f>IF(OR(J475="متأخرة",J475="اليوم"),COUNTIFS($J$6:$J$505,"متأخرة",$E$6:$E$505,"&lt;"&amp;E475)+COUNTIFS($J$6:$J$505,"اليوم",$E$6:$E$505,"&lt;"&amp;E475)+COUNTIFS($E$6:E475,E475&amp;"",$J$6:J475,J475),"")</f>
        <v/>
      </c>
    </row>
    <row r="476">
      <c r="A476" s="5" t="n"/>
      <c r="B476" s="5" t="n"/>
      <c r="C476" s="5" t="n"/>
      <c r="D476" s="16" t="n"/>
      <c r="E476" s="13" t="n"/>
      <c r="F476" s="13" t="n"/>
      <c r="G476" s="5" t="n"/>
      <c r="H476" s="17">
        <f>IF(C476&amp;""="","",IFERROR(VLOOKUP(C476,'الإعدادات'!$A$8:$B$13,2,FALSE),""))</f>
        <v/>
      </c>
      <c r="I476" s="18">
        <f>IF(OR(H476="",NOT(ISNUMBER(D476))),"",ROUND(D476*H476,2))</f>
        <v/>
      </c>
      <c r="J476" s="6">
        <f>IF(A476&amp;""="","",IF(OR(C476="تم",C476="خسارة"),"مغلقة",IF(NOT(ISNUMBER(E476)),"بلا موعد",IF(E476&lt;'الإعدادات'!$B$4,"متأخرة",IF(E476='الإعدادات'!$B$4,"اليوم","قادمة")))))</f>
        <v/>
      </c>
      <c r="K476" s="19">
        <f>IF(OR(J476="متأخرة",J476="اليوم"),'الإعدادات'!$B$4-E476,"")</f>
        <v/>
      </c>
      <c r="L476" s="19">
        <f>IF(OR(A476&amp;""="",NOT(ISNUMBER(F476))),"",'الإعدادات'!$B$4-F476)</f>
        <v/>
      </c>
      <c r="M476" s="19">
        <f>IF(OR(J476="متأخرة",J476="اليوم"),COUNTIFS($J$6:$J$505,"متأخرة",$E$6:$E$505,"&lt;"&amp;E476)+COUNTIFS($J$6:$J$505,"اليوم",$E$6:$E$505,"&lt;"&amp;E476)+COUNTIFS($E$6:E476,E476&amp;"",$J$6:J476,J476),"")</f>
        <v/>
      </c>
    </row>
    <row r="477">
      <c r="A477" s="5" t="n"/>
      <c r="B477" s="5" t="n"/>
      <c r="C477" s="5" t="n"/>
      <c r="D477" s="16" t="n"/>
      <c r="E477" s="13" t="n"/>
      <c r="F477" s="13" t="n"/>
      <c r="G477" s="5" t="n"/>
      <c r="H477" s="17">
        <f>IF(C477&amp;""="","",IFERROR(VLOOKUP(C477,'الإعدادات'!$A$8:$B$13,2,FALSE),""))</f>
        <v/>
      </c>
      <c r="I477" s="18">
        <f>IF(OR(H477="",NOT(ISNUMBER(D477))),"",ROUND(D477*H477,2))</f>
        <v/>
      </c>
      <c r="J477" s="6">
        <f>IF(A477&amp;""="","",IF(OR(C477="تم",C477="خسارة"),"مغلقة",IF(NOT(ISNUMBER(E477)),"بلا موعد",IF(E477&lt;'الإعدادات'!$B$4,"متأخرة",IF(E477='الإعدادات'!$B$4,"اليوم","قادمة")))))</f>
        <v/>
      </c>
      <c r="K477" s="19">
        <f>IF(OR(J477="متأخرة",J477="اليوم"),'الإعدادات'!$B$4-E477,"")</f>
        <v/>
      </c>
      <c r="L477" s="19">
        <f>IF(OR(A477&amp;""="",NOT(ISNUMBER(F477))),"",'الإعدادات'!$B$4-F477)</f>
        <v/>
      </c>
      <c r="M477" s="19">
        <f>IF(OR(J477="متأخرة",J477="اليوم"),COUNTIFS($J$6:$J$505,"متأخرة",$E$6:$E$505,"&lt;"&amp;E477)+COUNTIFS($J$6:$J$505,"اليوم",$E$6:$E$505,"&lt;"&amp;E477)+COUNTIFS($E$6:E477,E477&amp;"",$J$6:J477,J477),"")</f>
        <v/>
      </c>
    </row>
    <row r="478">
      <c r="A478" s="5" t="n"/>
      <c r="B478" s="5" t="n"/>
      <c r="C478" s="5" t="n"/>
      <c r="D478" s="16" t="n"/>
      <c r="E478" s="13" t="n"/>
      <c r="F478" s="13" t="n"/>
      <c r="G478" s="5" t="n"/>
      <c r="H478" s="17">
        <f>IF(C478&amp;""="","",IFERROR(VLOOKUP(C478,'الإعدادات'!$A$8:$B$13,2,FALSE),""))</f>
        <v/>
      </c>
      <c r="I478" s="18">
        <f>IF(OR(H478="",NOT(ISNUMBER(D478))),"",ROUND(D478*H478,2))</f>
        <v/>
      </c>
      <c r="J478" s="6">
        <f>IF(A478&amp;""="","",IF(OR(C478="تم",C478="خسارة"),"مغلقة",IF(NOT(ISNUMBER(E478)),"بلا موعد",IF(E478&lt;'الإعدادات'!$B$4,"متأخرة",IF(E478='الإعدادات'!$B$4,"اليوم","قادمة")))))</f>
        <v/>
      </c>
      <c r="K478" s="19">
        <f>IF(OR(J478="متأخرة",J478="اليوم"),'الإعدادات'!$B$4-E478,"")</f>
        <v/>
      </c>
      <c r="L478" s="19">
        <f>IF(OR(A478&amp;""="",NOT(ISNUMBER(F478))),"",'الإعدادات'!$B$4-F478)</f>
        <v/>
      </c>
      <c r="M478" s="19">
        <f>IF(OR(J478="متأخرة",J478="اليوم"),COUNTIFS($J$6:$J$505,"متأخرة",$E$6:$E$505,"&lt;"&amp;E478)+COUNTIFS($J$6:$J$505,"اليوم",$E$6:$E$505,"&lt;"&amp;E478)+COUNTIFS($E$6:E478,E478&amp;"",$J$6:J478,J478),"")</f>
        <v/>
      </c>
    </row>
    <row r="479">
      <c r="A479" s="5" t="n"/>
      <c r="B479" s="5" t="n"/>
      <c r="C479" s="5" t="n"/>
      <c r="D479" s="16" t="n"/>
      <c r="E479" s="13" t="n"/>
      <c r="F479" s="13" t="n"/>
      <c r="G479" s="5" t="n"/>
      <c r="H479" s="17">
        <f>IF(C479&amp;""="","",IFERROR(VLOOKUP(C479,'الإعدادات'!$A$8:$B$13,2,FALSE),""))</f>
        <v/>
      </c>
      <c r="I479" s="18">
        <f>IF(OR(H479="",NOT(ISNUMBER(D479))),"",ROUND(D479*H479,2))</f>
        <v/>
      </c>
      <c r="J479" s="6">
        <f>IF(A479&amp;""="","",IF(OR(C479="تم",C479="خسارة"),"مغلقة",IF(NOT(ISNUMBER(E479)),"بلا موعد",IF(E479&lt;'الإعدادات'!$B$4,"متأخرة",IF(E479='الإعدادات'!$B$4,"اليوم","قادمة")))))</f>
        <v/>
      </c>
      <c r="K479" s="19">
        <f>IF(OR(J479="متأخرة",J479="اليوم"),'الإعدادات'!$B$4-E479,"")</f>
        <v/>
      </c>
      <c r="L479" s="19">
        <f>IF(OR(A479&amp;""="",NOT(ISNUMBER(F479))),"",'الإعدادات'!$B$4-F479)</f>
        <v/>
      </c>
      <c r="M479" s="19">
        <f>IF(OR(J479="متأخرة",J479="اليوم"),COUNTIFS($J$6:$J$505,"متأخرة",$E$6:$E$505,"&lt;"&amp;E479)+COUNTIFS($J$6:$J$505,"اليوم",$E$6:$E$505,"&lt;"&amp;E479)+COUNTIFS($E$6:E479,E479&amp;"",$J$6:J479,J479),"")</f>
        <v/>
      </c>
    </row>
    <row r="480">
      <c r="A480" s="5" t="n"/>
      <c r="B480" s="5" t="n"/>
      <c r="C480" s="5" t="n"/>
      <c r="D480" s="16" t="n"/>
      <c r="E480" s="13" t="n"/>
      <c r="F480" s="13" t="n"/>
      <c r="G480" s="5" t="n"/>
      <c r="H480" s="17">
        <f>IF(C480&amp;""="","",IFERROR(VLOOKUP(C480,'الإعدادات'!$A$8:$B$13,2,FALSE),""))</f>
        <v/>
      </c>
      <c r="I480" s="18">
        <f>IF(OR(H480="",NOT(ISNUMBER(D480))),"",ROUND(D480*H480,2))</f>
        <v/>
      </c>
      <c r="J480" s="6">
        <f>IF(A480&amp;""="","",IF(OR(C480="تم",C480="خسارة"),"مغلقة",IF(NOT(ISNUMBER(E480)),"بلا موعد",IF(E480&lt;'الإعدادات'!$B$4,"متأخرة",IF(E480='الإعدادات'!$B$4,"اليوم","قادمة")))))</f>
        <v/>
      </c>
      <c r="K480" s="19">
        <f>IF(OR(J480="متأخرة",J480="اليوم"),'الإعدادات'!$B$4-E480,"")</f>
        <v/>
      </c>
      <c r="L480" s="19">
        <f>IF(OR(A480&amp;""="",NOT(ISNUMBER(F480))),"",'الإعدادات'!$B$4-F480)</f>
        <v/>
      </c>
      <c r="M480" s="19">
        <f>IF(OR(J480="متأخرة",J480="اليوم"),COUNTIFS($J$6:$J$505,"متأخرة",$E$6:$E$505,"&lt;"&amp;E480)+COUNTIFS($J$6:$J$505,"اليوم",$E$6:$E$505,"&lt;"&amp;E480)+COUNTIFS($E$6:E480,E480&amp;"",$J$6:J480,J480),"")</f>
        <v/>
      </c>
    </row>
    <row r="481">
      <c r="A481" s="5" t="n"/>
      <c r="B481" s="5" t="n"/>
      <c r="C481" s="5" t="n"/>
      <c r="D481" s="16" t="n"/>
      <c r="E481" s="13" t="n"/>
      <c r="F481" s="13" t="n"/>
      <c r="G481" s="5" t="n"/>
      <c r="H481" s="17">
        <f>IF(C481&amp;""="","",IFERROR(VLOOKUP(C481,'الإعدادات'!$A$8:$B$13,2,FALSE),""))</f>
        <v/>
      </c>
      <c r="I481" s="18">
        <f>IF(OR(H481="",NOT(ISNUMBER(D481))),"",ROUND(D481*H481,2))</f>
        <v/>
      </c>
      <c r="J481" s="6">
        <f>IF(A481&amp;""="","",IF(OR(C481="تم",C481="خسارة"),"مغلقة",IF(NOT(ISNUMBER(E481)),"بلا موعد",IF(E481&lt;'الإعدادات'!$B$4,"متأخرة",IF(E481='الإعدادات'!$B$4,"اليوم","قادمة")))))</f>
        <v/>
      </c>
      <c r="K481" s="19">
        <f>IF(OR(J481="متأخرة",J481="اليوم"),'الإعدادات'!$B$4-E481,"")</f>
        <v/>
      </c>
      <c r="L481" s="19">
        <f>IF(OR(A481&amp;""="",NOT(ISNUMBER(F481))),"",'الإعدادات'!$B$4-F481)</f>
        <v/>
      </c>
      <c r="M481" s="19">
        <f>IF(OR(J481="متأخرة",J481="اليوم"),COUNTIFS($J$6:$J$505,"متأخرة",$E$6:$E$505,"&lt;"&amp;E481)+COUNTIFS($J$6:$J$505,"اليوم",$E$6:$E$505,"&lt;"&amp;E481)+COUNTIFS($E$6:E481,E481&amp;"",$J$6:J481,J481),"")</f>
        <v/>
      </c>
    </row>
    <row r="482">
      <c r="A482" s="5" t="n"/>
      <c r="B482" s="5" t="n"/>
      <c r="C482" s="5" t="n"/>
      <c r="D482" s="16" t="n"/>
      <c r="E482" s="13" t="n"/>
      <c r="F482" s="13" t="n"/>
      <c r="G482" s="5" t="n"/>
      <c r="H482" s="17">
        <f>IF(C482&amp;""="","",IFERROR(VLOOKUP(C482,'الإعدادات'!$A$8:$B$13,2,FALSE),""))</f>
        <v/>
      </c>
      <c r="I482" s="18">
        <f>IF(OR(H482="",NOT(ISNUMBER(D482))),"",ROUND(D482*H482,2))</f>
        <v/>
      </c>
      <c r="J482" s="6">
        <f>IF(A482&amp;""="","",IF(OR(C482="تم",C482="خسارة"),"مغلقة",IF(NOT(ISNUMBER(E482)),"بلا موعد",IF(E482&lt;'الإعدادات'!$B$4,"متأخرة",IF(E482='الإعدادات'!$B$4,"اليوم","قادمة")))))</f>
        <v/>
      </c>
      <c r="K482" s="19">
        <f>IF(OR(J482="متأخرة",J482="اليوم"),'الإعدادات'!$B$4-E482,"")</f>
        <v/>
      </c>
      <c r="L482" s="19">
        <f>IF(OR(A482&amp;""="",NOT(ISNUMBER(F482))),"",'الإعدادات'!$B$4-F482)</f>
        <v/>
      </c>
      <c r="M482" s="19">
        <f>IF(OR(J482="متأخرة",J482="اليوم"),COUNTIFS($J$6:$J$505,"متأخرة",$E$6:$E$505,"&lt;"&amp;E482)+COUNTIFS($J$6:$J$505,"اليوم",$E$6:$E$505,"&lt;"&amp;E482)+COUNTIFS($E$6:E482,E482&amp;"",$J$6:J482,J482),"")</f>
        <v/>
      </c>
    </row>
    <row r="483">
      <c r="A483" s="5" t="n"/>
      <c r="B483" s="5" t="n"/>
      <c r="C483" s="5" t="n"/>
      <c r="D483" s="16" t="n"/>
      <c r="E483" s="13" t="n"/>
      <c r="F483" s="13" t="n"/>
      <c r="G483" s="5" t="n"/>
      <c r="H483" s="17">
        <f>IF(C483&amp;""="","",IFERROR(VLOOKUP(C483,'الإعدادات'!$A$8:$B$13,2,FALSE),""))</f>
        <v/>
      </c>
      <c r="I483" s="18">
        <f>IF(OR(H483="",NOT(ISNUMBER(D483))),"",ROUND(D483*H483,2))</f>
        <v/>
      </c>
      <c r="J483" s="6">
        <f>IF(A483&amp;""="","",IF(OR(C483="تم",C483="خسارة"),"مغلقة",IF(NOT(ISNUMBER(E483)),"بلا موعد",IF(E483&lt;'الإعدادات'!$B$4,"متأخرة",IF(E483='الإعدادات'!$B$4,"اليوم","قادمة")))))</f>
        <v/>
      </c>
      <c r="K483" s="19">
        <f>IF(OR(J483="متأخرة",J483="اليوم"),'الإعدادات'!$B$4-E483,"")</f>
        <v/>
      </c>
      <c r="L483" s="19">
        <f>IF(OR(A483&amp;""="",NOT(ISNUMBER(F483))),"",'الإعدادات'!$B$4-F483)</f>
        <v/>
      </c>
      <c r="M483" s="19">
        <f>IF(OR(J483="متأخرة",J483="اليوم"),COUNTIFS($J$6:$J$505,"متأخرة",$E$6:$E$505,"&lt;"&amp;E483)+COUNTIFS($J$6:$J$505,"اليوم",$E$6:$E$505,"&lt;"&amp;E483)+COUNTIFS($E$6:E483,E483&amp;"",$J$6:J483,J483),"")</f>
        <v/>
      </c>
    </row>
    <row r="484">
      <c r="A484" s="5" t="n"/>
      <c r="B484" s="5" t="n"/>
      <c r="C484" s="5" t="n"/>
      <c r="D484" s="16" t="n"/>
      <c r="E484" s="13" t="n"/>
      <c r="F484" s="13" t="n"/>
      <c r="G484" s="5" t="n"/>
      <c r="H484" s="17">
        <f>IF(C484&amp;""="","",IFERROR(VLOOKUP(C484,'الإعدادات'!$A$8:$B$13,2,FALSE),""))</f>
        <v/>
      </c>
      <c r="I484" s="18">
        <f>IF(OR(H484="",NOT(ISNUMBER(D484))),"",ROUND(D484*H484,2))</f>
        <v/>
      </c>
      <c r="J484" s="6">
        <f>IF(A484&amp;""="","",IF(OR(C484="تم",C484="خسارة"),"مغلقة",IF(NOT(ISNUMBER(E484)),"بلا موعد",IF(E484&lt;'الإعدادات'!$B$4,"متأخرة",IF(E484='الإعدادات'!$B$4,"اليوم","قادمة")))))</f>
        <v/>
      </c>
      <c r="K484" s="19">
        <f>IF(OR(J484="متأخرة",J484="اليوم"),'الإعدادات'!$B$4-E484,"")</f>
        <v/>
      </c>
      <c r="L484" s="19">
        <f>IF(OR(A484&amp;""="",NOT(ISNUMBER(F484))),"",'الإعدادات'!$B$4-F484)</f>
        <v/>
      </c>
      <c r="M484" s="19">
        <f>IF(OR(J484="متأخرة",J484="اليوم"),COUNTIFS($J$6:$J$505,"متأخرة",$E$6:$E$505,"&lt;"&amp;E484)+COUNTIFS($J$6:$J$505,"اليوم",$E$6:$E$505,"&lt;"&amp;E484)+COUNTIFS($E$6:E484,E484&amp;"",$J$6:J484,J484),"")</f>
        <v/>
      </c>
    </row>
    <row r="485">
      <c r="A485" s="5" t="n"/>
      <c r="B485" s="5" t="n"/>
      <c r="C485" s="5" t="n"/>
      <c r="D485" s="16" t="n"/>
      <c r="E485" s="13" t="n"/>
      <c r="F485" s="13" t="n"/>
      <c r="G485" s="5" t="n"/>
      <c r="H485" s="17">
        <f>IF(C485&amp;""="","",IFERROR(VLOOKUP(C485,'الإعدادات'!$A$8:$B$13,2,FALSE),""))</f>
        <v/>
      </c>
      <c r="I485" s="18">
        <f>IF(OR(H485="",NOT(ISNUMBER(D485))),"",ROUND(D485*H485,2))</f>
        <v/>
      </c>
      <c r="J485" s="6">
        <f>IF(A485&amp;""="","",IF(OR(C485="تم",C485="خسارة"),"مغلقة",IF(NOT(ISNUMBER(E485)),"بلا موعد",IF(E485&lt;'الإعدادات'!$B$4,"متأخرة",IF(E485='الإعدادات'!$B$4,"اليوم","قادمة")))))</f>
        <v/>
      </c>
      <c r="K485" s="19">
        <f>IF(OR(J485="متأخرة",J485="اليوم"),'الإعدادات'!$B$4-E485,"")</f>
        <v/>
      </c>
      <c r="L485" s="19">
        <f>IF(OR(A485&amp;""="",NOT(ISNUMBER(F485))),"",'الإعدادات'!$B$4-F485)</f>
        <v/>
      </c>
      <c r="M485" s="19">
        <f>IF(OR(J485="متأخرة",J485="اليوم"),COUNTIFS($J$6:$J$505,"متأخرة",$E$6:$E$505,"&lt;"&amp;E485)+COUNTIFS($J$6:$J$505,"اليوم",$E$6:$E$505,"&lt;"&amp;E485)+COUNTIFS($E$6:E485,E485&amp;"",$J$6:J485,J485),"")</f>
        <v/>
      </c>
    </row>
    <row r="486">
      <c r="A486" s="5" t="n"/>
      <c r="B486" s="5" t="n"/>
      <c r="C486" s="5" t="n"/>
      <c r="D486" s="16" t="n"/>
      <c r="E486" s="13" t="n"/>
      <c r="F486" s="13" t="n"/>
      <c r="G486" s="5" t="n"/>
      <c r="H486" s="17">
        <f>IF(C486&amp;""="","",IFERROR(VLOOKUP(C486,'الإعدادات'!$A$8:$B$13,2,FALSE),""))</f>
        <v/>
      </c>
      <c r="I486" s="18">
        <f>IF(OR(H486="",NOT(ISNUMBER(D486))),"",ROUND(D486*H486,2))</f>
        <v/>
      </c>
      <c r="J486" s="6">
        <f>IF(A486&amp;""="","",IF(OR(C486="تم",C486="خسارة"),"مغلقة",IF(NOT(ISNUMBER(E486)),"بلا موعد",IF(E486&lt;'الإعدادات'!$B$4,"متأخرة",IF(E486='الإعدادات'!$B$4,"اليوم","قادمة")))))</f>
        <v/>
      </c>
      <c r="K486" s="19">
        <f>IF(OR(J486="متأخرة",J486="اليوم"),'الإعدادات'!$B$4-E486,"")</f>
        <v/>
      </c>
      <c r="L486" s="19">
        <f>IF(OR(A486&amp;""="",NOT(ISNUMBER(F486))),"",'الإعدادات'!$B$4-F486)</f>
        <v/>
      </c>
      <c r="M486" s="19">
        <f>IF(OR(J486="متأخرة",J486="اليوم"),COUNTIFS($J$6:$J$505,"متأخرة",$E$6:$E$505,"&lt;"&amp;E486)+COUNTIFS($J$6:$J$505,"اليوم",$E$6:$E$505,"&lt;"&amp;E486)+COUNTIFS($E$6:E486,E486&amp;"",$J$6:J486,J486),"")</f>
        <v/>
      </c>
    </row>
    <row r="487">
      <c r="A487" s="5" t="n"/>
      <c r="B487" s="5" t="n"/>
      <c r="C487" s="5" t="n"/>
      <c r="D487" s="16" t="n"/>
      <c r="E487" s="13" t="n"/>
      <c r="F487" s="13" t="n"/>
      <c r="G487" s="5" t="n"/>
      <c r="H487" s="17">
        <f>IF(C487&amp;""="","",IFERROR(VLOOKUP(C487,'الإعدادات'!$A$8:$B$13,2,FALSE),""))</f>
        <v/>
      </c>
      <c r="I487" s="18">
        <f>IF(OR(H487="",NOT(ISNUMBER(D487))),"",ROUND(D487*H487,2))</f>
        <v/>
      </c>
      <c r="J487" s="6">
        <f>IF(A487&amp;""="","",IF(OR(C487="تم",C487="خسارة"),"مغلقة",IF(NOT(ISNUMBER(E487)),"بلا موعد",IF(E487&lt;'الإعدادات'!$B$4,"متأخرة",IF(E487='الإعدادات'!$B$4,"اليوم","قادمة")))))</f>
        <v/>
      </c>
      <c r="K487" s="19">
        <f>IF(OR(J487="متأخرة",J487="اليوم"),'الإعدادات'!$B$4-E487,"")</f>
        <v/>
      </c>
      <c r="L487" s="19">
        <f>IF(OR(A487&amp;""="",NOT(ISNUMBER(F487))),"",'الإعدادات'!$B$4-F487)</f>
        <v/>
      </c>
      <c r="M487" s="19">
        <f>IF(OR(J487="متأخرة",J487="اليوم"),COUNTIFS($J$6:$J$505,"متأخرة",$E$6:$E$505,"&lt;"&amp;E487)+COUNTIFS($J$6:$J$505,"اليوم",$E$6:$E$505,"&lt;"&amp;E487)+COUNTIFS($E$6:E487,E487&amp;"",$J$6:J487,J487),"")</f>
        <v/>
      </c>
    </row>
    <row r="488">
      <c r="A488" s="5" t="n"/>
      <c r="B488" s="5" t="n"/>
      <c r="C488" s="5" t="n"/>
      <c r="D488" s="16" t="n"/>
      <c r="E488" s="13" t="n"/>
      <c r="F488" s="13" t="n"/>
      <c r="G488" s="5" t="n"/>
      <c r="H488" s="17">
        <f>IF(C488&amp;""="","",IFERROR(VLOOKUP(C488,'الإعدادات'!$A$8:$B$13,2,FALSE),""))</f>
        <v/>
      </c>
      <c r="I488" s="18">
        <f>IF(OR(H488="",NOT(ISNUMBER(D488))),"",ROUND(D488*H488,2))</f>
        <v/>
      </c>
      <c r="J488" s="6">
        <f>IF(A488&amp;""="","",IF(OR(C488="تم",C488="خسارة"),"مغلقة",IF(NOT(ISNUMBER(E488)),"بلا موعد",IF(E488&lt;'الإعدادات'!$B$4,"متأخرة",IF(E488='الإعدادات'!$B$4,"اليوم","قادمة")))))</f>
        <v/>
      </c>
      <c r="K488" s="19">
        <f>IF(OR(J488="متأخرة",J488="اليوم"),'الإعدادات'!$B$4-E488,"")</f>
        <v/>
      </c>
      <c r="L488" s="19">
        <f>IF(OR(A488&amp;""="",NOT(ISNUMBER(F488))),"",'الإعدادات'!$B$4-F488)</f>
        <v/>
      </c>
      <c r="M488" s="19">
        <f>IF(OR(J488="متأخرة",J488="اليوم"),COUNTIFS($J$6:$J$505,"متأخرة",$E$6:$E$505,"&lt;"&amp;E488)+COUNTIFS($J$6:$J$505,"اليوم",$E$6:$E$505,"&lt;"&amp;E488)+COUNTIFS($E$6:E488,E488&amp;"",$J$6:J488,J488),"")</f>
        <v/>
      </c>
    </row>
    <row r="489">
      <c r="A489" s="5" t="n"/>
      <c r="B489" s="5" t="n"/>
      <c r="C489" s="5" t="n"/>
      <c r="D489" s="16" t="n"/>
      <c r="E489" s="13" t="n"/>
      <c r="F489" s="13" t="n"/>
      <c r="G489" s="5" t="n"/>
      <c r="H489" s="17">
        <f>IF(C489&amp;""="","",IFERROR(VLOOKUP(C489,'الإعدادات'!$A$8:$B$13,2,FALSE),""))</f>
        <v/>
      </c>
      <c r="I489" s="18">
        <f>IF(OR(H489="",NOT(ISNUMBER(D489))),"",ROUND(D489*H489,2))</f>
        <v/>
      </c>
      <c r="J489" s="6">
        <f>IF(A489&amp;""="","",IF(OR(C489="تم",C489="خسارة"),"مغلقة",IF(NOT(ISNUMBER(E489)),"بلا موعد",IF(E489&lt;'الإعدادات'!$B$4,"متأخرة",IF(E489='الإعدادات'!$B$4,"اليوم","قادمة")))))</f>
        <v/>
      </c>
      <c r="K489" s="19">
        <f>IF(OR(J489="متأخرة",J489="اليوم"),'الإعدادات'!$B$4-E489,"")</f>
        <v/>
      </c>
      <c r="L489" s="19">
        <f>IF(OR(A489&amp;""="",NOT(ISNUMBER(F489))),"",'الإعدادات'!$B$4-F489)</f>
        <v/>
      </c>
      <c r="M489" s="19">
        <f>IF(OR(J489="متأخرة",J489="اليوم"),COUNTIFS($J$6:$J$505,"متأخرة",$E$6:$E$505,"&lt;"&amp;E489)+COUNTIFS($J$6:$J$505,"اليوم",$E$6:$E$505,"&lt;"&amp;E489)+COUNTIFS($E$6:E489,E489&amp;"",$J$6:J489,J489),"")</f>
        <v/>
      </c>
    </row>
    <row r="490">
      <c r="A490" s="5" t="n"/>
      <c r="B490" s="5" t="n"/>
      <c r="C490" s="5" t="n"/>
      <c r="D490" s="16" t="n"/>
      <c r="E490" s="13" t="n"/>
      <c r="F490" s="13" t="n"/>
      <c r="G490" s="5" t="n"/>
      <c r="H490" s="17">
        <f>IF(C490&amp;""="","",IFERROR(VLOOKUP(C490,'الإعدادات'!$A$8:$B$13,2,FALSE),""))</f>
        <v/>
      </c>
      <c r="I490" s="18">
        <f>IF(OR(H490="",NOT(ISNUMBER(D490))),"",ROUND(D490*H490,2))</f>
        <v/>
      </c>
      <c r="J490" s="6">
        <f>IF(A490&amp;""="","",IF(OR(C490="تم",C490="خسارة"),"مغلقة",IF(NOT(ISNUMBER(E490)),"بلا موعد",IF(E490&lt;'الإعدادات'!$B$4,"متأخرة",IF(E490='الإعدادات'!$B$4,"اليوم","قادمة")))))</f>
        <v/>
      </c>
      <c r="K490" s="19">
        <f>IF(OR(J490="متأخرة",J490="اليوم"),'الإعدادات'!$B$4-E490,"")</f>
        <v/>
      </c>
      <c r="L490" s="19">
        <f>IF(OR(A490&amp;""="",NOT(ISNUMBER(F490))),"",'الإعدادات'!$B$4-F490)</f>
        <v/>
      </c>
      <c r="M490" s="19">
        <f>IF(OR(J490="متأخرة",J490="اليوم"),COUNTIFS($J$6:$J$505,"متأخرة",$E$6:$E$505,"&lt;"&amp;E490)+COUNTIFS($J$6:$J$505,"اليوم",$E$6:$E$505,"&lt;"&amp;E490)+COUNTIFS($E$6:E490,E490&amp;"",$J$6:J490,J490),"")</f>
        <v/>
      </c>
    </row>
    <row r="491">
      <c r="A491" s="5" t="n"/>
      <c r="B491" s="5" t="n"/>
      <c r="C491" s="5" t="n"/>
      <c r="D491" s="16" t="n"/>
      <c r="E491" s="13" t="n"/>
      <c r="F491" s="13" t="n"/>
      <c r="G491" s="5" t="n"/>
      <c r="H491" s="17">
        <f>IF(C491&amp;""="","",IFERROR(VLOOKUP(C491,'الإعدادات'!$A$8:$B$13,2,FALSE),""))</f>
        <v/>
      </c>
      <c r="I491" s="18">
        <f>IF(OR(H491="",NOT(ISNUMBER(D491))),"",ROUND(D491*H491,2))</f>
        <v/>
      </c>
      <c r="J491" s="6">
        <f>IF(A491&amp;""="","",IF(OR(C491="تم",C491="خسارة"),"مغلقة",IF(NOT(ISNUMBER(E491)),"بلا موعد",IF(E491&lt;'الإعدادات'!$B$4,"متأخرة",IF(E491='الإعدادات'!$B$4,"اليوم","قادمة")))))</f>
        <v/>
      </c>
      <c r="K491" s="19">
        <f>IF(OR(J491="متأخرة",J491="اليوم"),'الإعدادات'!$B$4-E491,"")</f>
        <v/>
      </c>
      <c r="L491" s="19">
        <f>IF(OR(A491&amp;""="",NOT(ISNUMBER(F491))),"",'الإعدادات'!$B$4-F491)</f>
        <v/>
      </c>
      <c r="M491" s="19">
        <f>IF(OR(J491="متأخرة",J491="اليوم"),COUNTIFS($J$6:$J$505,"متأخرة",$E$6:$E$505,"&lt;"&amp;E491)+COUNTIFS($J$6:$J$505,"اليوم",$E$6:$E$505,"&lt;"&amp;E491)+COUNTIFS($E$6:E491,E491&amp;"",$J$6:J491,J491),"")</f>
        <v/>
      </c>
    </row>
    <row r="492">
      <c r="A492" s="5" t="n"/>
      <c r="B492" s="5" t="n"/>
      <c r="C492" s="5" t="n"/>
      <c r="D492" s="16" t="n"/>
      <c r="E492" s="13" t="n"/>
      <c r="F492" s="13" t="n"/>
      <c r="G492" s="5" t="n"/>
      <c r="H492" s="17">
        <f>IF(C492&amp;""="","",IFERROR(VLOOKUP(C492,'الإعدادات'!$A$8:$B$13,2,FALSE),""))</f>
        <v/>
      </c>
      <c r="I492" s="18">
        <f>IF(OR(H492="",NOT(ISNUMBER(D492))),"",ROUND(D492*H492,2))</f>
        <v/>
      </c>
      <c r="J492" s="6">
        <f>IF(A492&amp;""="","",IF(OR(C492="تم",C492="خسارة"),"مغلقة",IF(NOT(ISNUMBER(E492)),"بلا موعد",IF(E492&lt;'الإعدادات'!$B$4,"متأخرة",IF(E492='الإعدادات'!$B$4,"اليوم","قادمة")))))</f>
        <v/>
      </c>
      <c r="K492" s="19">
        <f>IF(OR(J492="متأخرة",J492="اليوم"),'الإعدادات'!$B$4-E492,"")</f>
        <v/>
      </c>
      <c r="L492" s="19">
        <f>IF(OR(A492&amp;""="",NOT(ISNUMBER(F492))),"",'الإعدادات'!$B$4-F492)</f>
        <v/>
      </c>
      <c r="M492" s="19">
        <f>IF(OR(J492="متأخرة",J492="اليوم"),COUNTIFS($J$6:$J$505,"متأخرة",$E$6:$E$505,"&lt;"&amp;E492)+COUNTIFS($J$6:$J$505,"اليوم",$E$6:$E$505,"&lt;"&amp;E492)+COUNTIFS($E$6:E492,E492&amp;"",$J$6:J492,J492),"")</f>
        <v/>
      </c>
    </row>
    <row r="493">
      <c r="A493" s="5" t="n"/>
      <c r="B493" s="5" t="n"/>
      <c r="C493" s="5" t="n"/>
      <c r="D493" s="16" t="n"/>
      <c r="E493" s="13" t="n"/>
      <c r="F493" s="13" t="n"/>
      <c r="G493" s="5" t="n"/>
      <c r="H493" s="17">
        <f>IF(C493&amp;""="","",IFERROR(VLOOKUP(C493,'الإعدادات'!$A$8:$B$13,2,FALSE),""))</f>
        <v/>
      </c>
      <c r="I493" s="18">
        <f>IF(OR(H493="",NOT(ISNUMBER(D493))),"",ROUND(D493*H493,2))</f>
        <v/>
      </c>
      <c r="J493" s="6">
        <f>IF(A493&amp;""="","",IF(OR(C493="تم",C493="خسارة"),"مغلقة",IF(NOT(ISNUMBER(E493)),"بلا موعد",IF(E493&lt;'الإعدادات'!$B$4,"متأخرة",IF(E493='الإعدادات'!$B$4,"اليوم","قادمة")))))</f>
        <v/>
      </c>
      <c r="K493" s="19">
        <f>IF(OR(J493="متأخرة",J493="اليوم"),'الإعدادات'!$B$4-E493,"")</f>
        <v/>
      </c>
      <c r="L493" s="19">
        <f>IF(OR(A493&amp;""="",NOT(ISNUMBER(F493))),"",'الإعدادات'!$B$4-F493)</f>
        <v/>
      </c>
      <c r="M493" s="19">
        <f>IF(OR(J493="متأخرة",J493="اليوم"),COUNTIFS($J$6:$J$505,"متأخرة",$E$6:$E$505,"&lt;"&amp;E493)+COUNTIFS($J$6:$J$505,"اليوم",$E$6:$E$505,"&lt;"&amp;E493)+COUNTIFS($E$6:E493,E493&amp;"",$J$6:J493,J493),"")</f>
        <v/>
      </c>
    </row>
    <row r="494">
      <c r="A494" s="5" t="n"/>
      <c r="B494" s="5" t="n"/>
      <c r="C494" s="5" t="n"/>
      <c r="D494" s="16" t="n"/>
      <c r="E494" s="13" t="n"/>
      <c r="F494" s="13" t="n"/>
      <c r="G494" s="5" t="n"/>
      <c r="H494" s="17">
        <f>IF(C494&amp;""="","",IFERROR(VLOOKUP(C494,'الإعدادات'!$A$8:$B$13,2,FALSE),""))</f>
        <v/>
      </c>
      <c r="I494" s="18">
        <f>IF(OR(H494="",NOT(ISNUMBER(D494))),"",ROUND(D494*H494,2))</f>
        <v/>
      </c>
      <c r="J494" s="6">
        <f>IF(A494&amp;""="","",IF(OR(C494="تم",C494="خسارة"),"مغلقة",IF(NOT(ISNUMBER(E494)),"بلا موعد",IF(E494&lt;'الإعدادات'!$B$4,"متأخرة",IF(E494='الإعدادات'!$B$4,"اليوم","قادمة")))))</f>
        <v/>
      </c>
      <c r="K494" s="19">
        <f>IF(OR(J494="متأخرة",J494="اليوم"),'الإعدادات'!$B$4-E494,"")</f>
        <v/>
      </c>
      <c r="L494" s="19">
        <f>IF(OR(A494&amp;""="",NOT(ISNUMBER(F494))),"",'الإعدادات'!$B$4-F494)</f>
        <v/>
      </c>
      <c r="M494" s="19">
        <f>IF(OR(J494="متأخرة",J494="اليوم"),COUNTIFS($J$6:$J$505,"متأخرة",$E$6:$E$505,"&lt;"&amp;E494)+COUNTIFS($J$6:$J$505,"اليوم",$E$6:$E$505,"&lt;"&amp;E494)+COUNTIFS($E$6:E494,E494&amp;"",$J$6:J494,J494),"")</f>
        <v/>
      </c>
    </row>
    <row r="495">
      <c r="A495" s="5" t="n"/>
      <c r="B495" s="5" t="n"/>
      <c r="C495" s="5" t="n"/>
      <c r="D495" s="16" t="n"/>
      <c r="E495" s="13" t="n"/>
      <c r="F495" s="13" t="n"/>
      <c r="G495" s="5" t="n"/>
      <c r="H495" s="17">
        <f>IF(C495&amp;""="","",IFERROR(VLOOKUP(C495,'الإعدادات'!$A$8:$B$13,2,FALSE),""))</f>
        <v/>
      </c>
      <c r="I495" s="18">
        <f>IF(OR(H495="",NOT(ISNUMBER(D495))),"",ROUND(D495*H495,2))</f>
        <v/>
      </c>
      <c r="J495" s="6">
        <f>IF(A495&amp;""="","",IF(OR(C495="تم",C495="خسارة"),"مغلقة",IF(NOT(ISNUMBER(E495)),"بلا موعد",IF(E495&lt;'الإعدادات'!$B$4,"متأخرة",IF(E495='الإعدادات'!$B$4,"اليوم","قادمة")))))</f>
        <v/>
      </c>
      <c r="K495" s="19">
        <f>IF(OR(J495="متأخرة",J495="اليوم"),'الإعدادات'!$B$4-E495,"")</f>
        <v/>
      </c>
      <c r="L495" s="19">
        <f>IF(OR(A495&amp;""="",NOT(ISNUMBER(F495))),"",'الإعدادات'!$B$4-F495)</f>
        <v/>
      </c>
      <c r="M495" s="19">
        <f>IF(OR(J495="متأخرة",J495="اليوم"),COUNTIFS($J$6:$J$505,"متأخرة",$E$6:$E$505,"&lt;"&amp;E495)+COUNTIFS($J$6:$J$505,"اليوم",$E$6:$E$505,"&lt;"&amp;E495)+COUNTIFS($E$6:E495,E495&amp;"",$J$6:J495,J495),"")</f>
        <v/>
      </c>
    </row>
    <row r="496">
      <c r="A496" s="5" t="n"/>
      <c r="B496" s="5" t="n"/>
      <c r="C496" s="5" t="n"/>
      <c r="D496" s="16" t="n"/>
      <c r="E496" s="13" t="n"/>
      <c r="F496" s="13" t="n"/>
      <c r="G496" s="5" t="n"/>
      <c r="H496" s="17">
        <f>IF(C496&amp;""="","",IFERROR(VLOOKUP(C496,'الإعدادات'!$A$8:$B$13,2,FALSE),""))</f>
        <v/>
      </c>
      <c r="I496" s="18">
        <f>IF(OR(H496="",NOT(ISNUMBER(D496))),"",ROUND(D496*H496,2))</f>
        <v/>
      </c>
      <c r="J496" s="6">
        <f>IF(A496&amp;""="","",IF(OR(C496="تم",C496="خسارة"),"مغلقة",IF(NOT(ISNUMBER(E496)),"بلا موعد",IF(E496&lt;'الإعدادات'!$B$4,"متأخرة",IF(E496='الإعدادات'!$B$4,"اليوم","قادمة")))))</f>
        <v/>
      </c>
      <c r="K496" s="19">
        <f>IF(OR(J496="متأخرة",J496="اليوم"),'الإعدادات'!$B$4-E496,"")</f>
        <v/>
      </c>
      <c r="L496" s="19">
        <f>IF(OR(A496&amp;""="",NOT(ISNUMBER(F496))),"",'الإعدادات'!$B$4-F496)</f>
        <v/>
      </c>
      <c r="M496" s="19">
        <f>IF(OR(J496="متأخرة",J496="اليوم"),COUNTIFS($J$6:$J$505,"متأخرة",$E$6:$E$505,"&lt;"&amp;E496)+COUNTIFS($J$6:$J$505,"اليوم",$E$6:$E$505,"&lt;"&amp;E496)+COUNTIFS($E$6:E496,E496&amp;"",$J$6:J496,J496),"")</f>
        <v/>
      </c>
    </row>
    <row r="497">
      <c r="A497" s="5" t="n"/>
      <c r="B497" s="5" t="n"/>
      <c r="C497" s="5" t="n"/>
      <c r="D497" s="16" t="n"/>
      <c r="E497" s="13" t="n"/>
      <c r="F497" s="13" t="n"/>
      <c r="G497" s="5" t="n"/>
      <c r="H497" s="17">
        <f>IF(C497&amp;""="","",IFERROR(VLOOKUP(C497,'الإعدادات'!$A$8:$B$13,2,FALSE),""))</f>
        <v/>
      </c>
      <c r="I497" s="18">
        <f>IF(OR(H497="",NOT(ISNUMBER(D497))),"",ROUND(D497*H497,2))</f>
        <v/>
      </c>
      <c r="J497" s="6">
        <f>IF(A497&amp;""="","",IF(OR(C497="تم",C497="خسارة"),"مغلقة",IF(NOT(ISNUMBER(E497)),"بلا موعد",IF(E497&lt;'الإعدادات'!$B$4,"متأخرة",IF(E497='الإعدادات'!$B$4,"اليوم","قادمة")))))</f>
        <v/>
      </c>
      <c r="K497" s="19">
        <f>IF(OR(J497="متأخرة",J497="اليوم"),'الإعدادات'!$B$4-E497,"")</f>
        <v/>
      </c>
      <c r="L497" s="19">
        <f>IF(OR(A497&amp;""="",NOT(ISNUMBER(F497))),"",'الإعدادات'!$B$4-F497)</f>
        <v/>
      </c>
      <c r="M497" s="19">
        <f>IF(OR(J497="متأخرة",J497="اليوم"),COUNTIFS($J$6:$J$505,"متأخرة",$E$6:$E$505,"&lt;"&amp;E497)+COUNTIFS($J$6:$J$505,"اليوم",$E$6:$E$505,"&lt;"&amp;E497)+COUNTIFS($E$6:E497,E497&amp;"",$J$6:J497,J497),"")</f>
        <v/>
      </c>
    </row>
    <row r="498">
      <c r="A498" s="5" t="n"/>
      <c r="B498" s="5" t="n"/>
      <c r="C498" s="5" t="n"/>
      <c r="D498" s="16" t="n"/>
      <c r="E498" s="13" t="n"/>
      <c r="F498" s="13" t="n"/>
      <c r="G498" s="5" t="n"/>
      <c r="H498" s="17">
        <f>IF(C498&amp;""="","",IFERROR(VLOOKUP(C498,'الإعدادات'!$A$8:$B$13,2,FALSE),""))</f>
        <v/>
      </c>
      <c r="I498" s="18">
        <f>IF(OR(H498="",NOT(ISNUMBER(D498))),"",ROUND(D498*H498,2))</f>
        <v/>
      </c>
      <c r="J498" s="6">
        <f>IF(A498&amp;""="","",IF(OR(C498="تم",C498="خسارة"),"مغلقة",IF(NOT(ISNUMBER(E498)),"بلا موعد",IF(E498&lt;'الإعدادات'!$B$4,"متأخرة",IF(E498='الإعدادات'!$B$4,"اليوم","قادمة")))))</f>
        <v/>
      </c>
      <c r="K498" s="19">
        <f>IF(OR(J498="متأخرة",J498="اليوم"),'الإعدادات'!$B$4-E498,"")</f>
        <v/>
      </c>
      <c r="L498" s="19">
        <f>IF(OR(A498&amp;""="",NOT(ISNUMBER(F498))),"",'الإعدادات'!$B$4-F498)</f>
        <v/>
      </c>
      <c r="M498" s="19">
        <f>IF(OR(J498="متأخرة",J498="اليوم"),COUNTIFS($J$6:$J$505,"متأخرة",$E$6:$E$505,"&lt;"&amp;E498)+COUNTIFS($J$6:$J$505,"اليوم",$E$6:$E$505,"&lt;"&amp;E498)+COUNTIFS($E$6:E498,E498&amp;"",$J$6:J498,J498),"")</f>
        <v/>
      </c>
    </row>
    <row r="499">
      <c r="A499" s="5" t="n"/>
      <c r="B499" s="5" t="n"/>
      <c r="C499" s="5" t="n"/>
      <c r="D499" s="16" t="n"/>
      <c r="E499" s="13" t="n"/>
      <c r="F499" s="13" t="n"/>
      <c r="G499" s="5" t="n"/>
      <c r="H499" s="17">
        <f>IF(C499&amp;""="","",IFERROR(VLOOKUP(C499,'الإعدادات'!$A$8:$B$13,2,FALSE),""))</f>
        <v/>
      </c>
      <c r="I499" s="18">
        <f>IF(OR(H499="",NOT(ISNUMBER(D499))),"",ROUND(D499*H499,2))</f>
        <v/>
      </c>
      <c r="J499" s="6">
        <f>IF(A499&amp;""="","",IF(OR(C499="تم",C499="خسارة"),"مغلقة",IF(NOT(ISNUMBER(E499)),"بلا موعد",IF(E499&lt;'الإعدادات'!$B$4,"متأخرة",IF(E499='الإعدادات'!$B$4,"اليوم","قادمة")))))</f>
        <v/>
      </c>
      <c r="K499" s="19">
        <f>IF(OR(J499="متأخرة",J499="اليوم"),'الإعدادات'!$B$4-E499,"")</f>
        <v/>
      </c>
      <c r="L499" s="19">
        <f>IF(OR(A499&amp;""="",NOT(ISNUMBER(F499))),"",'الإعدادات'!$B$4-F499)</f>
        <v/>
      </c>
      <c r="M499" s="19">
        <f>IF(OR(J499="متأخرة",J499="اليوم"),COUNTIFS($J$6:$J$505,"متأخرة",$E$6:$E$505,"&lt;"&amp;E499)+COUNTIFS($J$6:$J$505,"اليوم",$E$6:$E$505,"&lt;"&amp;E499)+COUNTIFS($E$6:E499,E499&amp;"",$J$6:J499,J499),"")</f>
        <v/>
      </c>
    </row>
    <row r="500">
      <c r="A500" s="5" t="n"/>
      <c r="B500" s="5" t="n"/>
      <c r="C500" s="5" t="n"/>
      <c r="D500" s="16" t="n"/>
      <c r="E500" s="13" t="n"/>
      <c r="F500" s="13" t="n"/>
      <c r="G500" s="5" t="n"/>
      <c r="H500" s="17">
        <f>IF(C500&amp;""="","",IFERROR(VLOOKUP(C500,'الإعدادات'!$A$8:$B$13,2,FALSE),""))</f>
        <v/>
      </c>
      <c r="I500" s="18">
        <f>IF(OR(H500="",NOT(ISNUMBER(D500))),"",ROUND(D500*H500,2))</f>
        <v/>
      </c>
      <c r="J500" s="6">
        <f>IF(A500&amp;""="","",IF(OR(C500="تم",C500="خسارة"),"مغلقة",IF(NOT(ISNUMBER(E500)),"بلا موعد",IF(E500&lt;'الإعدادات'!$B$4,"متأخرة",IF(E500='الإعدادات'!$B$4,"اليوم","قادمة")))))</f>
        <v/>
      </c>
      <c r="K500" s="19">
        <f>IF(OR(J500="متأخرة",J500="اليوم"),'الإعدادات'!$B$4-E500,"")</f>
        <v/>
      </c>
      <c r="L500" s="19">
        <f>IF(OR(A500&amp;""="",NOT(ISNUMBER(F500))),"",'الإعدادات'!$B$4-F500)</f>
        <v/>
      </c>
      <c r="M500" s="19">
        <f>IF(OR(J500="متأخرة",J500="اليوم"),COUNTIFS($J$6:$J$505,"متأخرة",$E$6:$E$505,"&lt;"&amp;E500)+COUNTIFS($J$6:$J$505,"اليوم",$E$6:$E$505,"&lt;"&amp;E500)+COUNTIFS($E$6:E500,E500&amp;"",$J$6:J500,J500),"")</f>
        <v/>
      </c>
    </row>
    <row r="501">
      <c r="A501" s="5" t="n"/>
      <c r="B501" s="5" t="n"/>
      <c r="C501" s="5" t="n"/>
      <c r="D501" s="16" t="n"/>
      <c r="E501" s="13" t="n"/>
      <c r="F501" s="13" t="n"/>
      <c r="G501" s="5" t="n"/>
      <c r="H501" s="17">
        <f>IF(C501&amp;""="","",IFERROR(VLOOKUP(C501,'الإعدادات'!$A$8:$B$13,2,FALSE),""))</f>
        <v/>
      </c>
      <c r="I501" s="18">
        <f>IF(OR(H501="",NOT(ISNUMBER(D501))),"",ROUND(D501*H501,2))</f>
        <v/>
      </c>
      <c r="J501" s="6">
        <f>IF(A501&amp;""="","",IF(OR(C501="تم",C501="خسارة"),"مغلقة",IF(NOT(ISNUMBER(E501)),"بلا موعد",IF(E501&lt;'الإعدادات'!$B$4,"متأخرة",IF(E501='الإعدادات'!$B$4,"اليوم","قادمة")))))</f>
        <v/>
      </c>
      <c r="K501" s="19">
        <f>IF(OR(J501="متأخرة",J501="اليوم"),'الإعدادات'!$B$4-E501,"")</f>
        <v/>
      </c>
      <c r="L501" s="19">
        <f>IF(OR(A501&amp;""="",NOT(ISNUMBER(F501))),"",'الإعدادات'!$B$4-F501)</f>
        <v/>
      </c>
      <c r="M501" s="19">
        <f>IF(OR(J501="متأخرة",J501="اليوم"),COUNTIFS($J$6:$J$505,"متأخرة",$E$6:$E$505,"&lt;"&amp;E501)+COUNTIFS($J$6:$J$505,"اليوم",$E$6:$E$505,"&lt;"&amp;E501)+COUNTIFS($E$6:E501,E501&amp;"",$J$6:J501,J501),"")</f>
        <v/>
      </c>
    </row>
    <row r="502">
      <c r="A502" s="5" t="n"/>
      <c r="B502" s="5" t="n"/>
      <c r="C502" s="5" t="n"/>
      <c r="D502" s="16" t="n"/>
      <c r="E502" s="13" t="n"/>
      <c r="F502" s="13" t="n"/>
      <c r="G502" s="5" t="n"/>
      <c r="H502" s="17">
        <f>IF(C502&amp;""="","",IFERROR(VLOOKUP(C502,'الإعدادات'!$A$8:$B$13,2,FALSE),""))</f>
        <v/>
      </c>
      <c r="I502" s="18">
        <f>IF(OR(H502="",NOT(ISNUMBER(D502))),"",ROUND(D502*H502,2))</f>
        <v/>
      </c>
      <c r="J502" s="6">
        <f>IF(A502&amp;""="","",IF(OR(C502="تم",C502="خسارة"),"مغلقة",IF(NOT(ISNUMBER(E502)),"بلا موعد",IF(E502&lt;'الإعدادات'!$B$4,"متأخرة",IF(E502='الإعدادات'!$B$4,"اليوم","قادمة")))))</f>
        <v/>
      </c>
      <c r="K502" s="19">
        <f>IF(OR(J502="متأخرة",J502="اليوم"),'الإعدادات'!$B$4-E502,"")</f>
        <v/>
      </c>
      <c r="L502" s="19">
        <f>IF(OR(A502&amp;""="",NOT(ISNUMBER(F502))),"",'الإعدادات'!$B$4-F502)</f>
        <v/>
      </c>
      <c r="M502" s="19">
        <f>IF(OR(J502="متأخرة",J502="اليوم"),COUNTIFS($J$6:$J$505,"متأخرة",$E$6:$E$505,"&lt;"&amp;E502)+COUNTIFS($J$6:$J$505,"اليوم",$E$6:$E$505,"&lt;"&amp;E502)+COUNTIFS($E$6:E502,E502&amp;"",$J$6:J502,J502),"")</f>
        <v/>
      </c>
    </row>
    <row r="503">
      <c r="A503" s="5" t="n"/>
      <c r="B503" s="5" t="n"/>
      <c r="C503" s="5" t="n"/>
      <c r="D503" s="16" t="n"/>
      <c r="E503" s="13" t="n"/>
      <c r="F503" s="13" t="n"/>
      <c r="G503" s="5" t="n"/>
      <c r="H503" s="17">
        <f>IF(C503&amp;""="","",IFERROR(VLOOKUP(C503,'الإعدادات'!$A$8:$B$13,2,FALSE),""))</f>
        <v/>
      </c>
      <c r="I503" s="18">
        <f>IF(OR(H503="",NOT(ISNUMBER(D503))),"",ROUND(D503*H503,2))</f>
        <v/>
      </c>
      <c r="J503" s="6">
        <f>IF(A503&amp;""="","",IF(OR(C503="تم",C503="خسارة"),"مغلقة",IF(NOT(ISNUMBER(E503)),"بلا موعد",IF(E503&lt;'الإعدادات'!$B$4,"متأخرة",IF(E503='الإعدادات'!$B$4,"اليوم","قادمة")))))</f>
        <v/>
      </c>
      <c r="K503" s="19">
        <f>IF(OR(J503="متأخرة",J503="اليوم"),'الإعدادات'!$B$4-E503,"")</f>
        <v/>
      </c>
      <c r="L503" s="19">
        <f>IF(OR(A503&amp;""="",NOT(ISNUMBER(F503))),"",'الإعدادات'!$B$4-F503)</f>
        <v/>
      </c>
      <c r="M503" s="19">
        <f>IF(OR(J503="متأخرة",J503="اليوم"),COUNTIFS($J$6:$J$505,"متأخرة",$E$6:$E$505,"&lt;"&amp;E503)+COUNTIFS($J$6:$J$505,"اليوم",$E$6:$E$505,"&lt;"&amp;E503)+COUNTIFS($E$6:E503,E503&amp;"",$J$6:J503,J503),"")</f>
        <v/>
      </c>
    </row>
    <row r="504">
      <c r="A504" s="5" t="n"/>
      <c r="B504" s="5" t="n"/>
      <c r="C504" s="5" t="n"/>
      <c r="D504" s="16" t="n"/>
      <c r="E504" s="13" t="n"/>
      <c r="F504" s="13" t="n"/>
      <c r="G504" s="5" t="n"/>
      <c r="H504" s="17">
        <f>IF(C504&amp;""="","",IFERROR(VLOOKUP(C504,'الإعدادات'!$A$8:$B$13,2,FALSE),""))</f>
        <v/>
      </c>
      <c r="I504" s="18">
        <f>IF(OR(H504="",NOT(ISNUMBER(D504))),"",ROUND(D504*H504,2))</f>
        <v/>
      </c>
      <c r="J504" s="6">
        <f>IF(A504&amp;""="","",IF(OR(C504="تم",C504="خسارة"),"مغلقة",IF(NOT(ISNUMBER(E504)),"بلا موعد",IF(E504&lt;'الإعدادات'!$B$4,"متأخرة",IF(E504='الإعدادات'!$B$4,"اليوم","قادمة")))))</f>
        <v/>
      </c>
      <c r="K504" s="19">
        <f>IF(OR(J504="متأخرة",J504="اليوم"),'الإعدادات'!$B$4-E504,"")</f>
        <v/>
      </c>
      <c r="L504" s="19">
        <f>IF(OR(A504&amp;""="",NOT(ISNUMBER(F504))),"",'الإعدادات'!$B$4-F504)</f>
        <v/>
      </c>
      <c r="M504" s="19">
        <f>IF(OR(J504="متأخرة",J504="اليوم"),COUNTIFS($J$6:$J$505,"متأخرة",$E$6:$E$505,"&lt;"&amp;E504)+COUNTIFS($J$6:$J$505,"اليوم",$E$6:$E$505,"&lt;"&amp;E504)+COUNTIFS($E$6:E504,E504&amp;"",$J$6:J504,J504),"")</f>
        <v/>
      </c>
    </row>
    <row r="505">
      <c r="A505" s="5" t="n"/>
      <c r="B505" s="5" t="n"/>
      <c r="C505" s="5" t="n"/>
      <c r="D505" s="16" t="n"/>
      <c r="E505" s="13" t="n"/>
      <c r="F505" s="13" t="n"/>
      <c r="G505" s="5" t="n"/>
      <c r="H505" s="17">
        <f>IF(C505&amp;""="","",IFERROR(VLOOKUP(C505,'الإعدادات'!$A$8:$B$13,2,FALSE),""))</f>
        <v/>
      </c>
      <c r="I505" s="18">
        <f>IF(OR(H505="",NOT(ISNUMBER(D505))),"",ROUND(D505*H505,2))</f>
        <v/>
      </c>
      <c r="J505" s="6">
        <f>IF(A505&amp;""="","",IF(OR(C505="تم",C505="خسارة"),"مغلقة",IF(NOT(ISNUMBER(E505)),"بلا موعد",IF(E505&lt;'الإعدادات'!$B$4,"متأخرة",IF(E505='الإعدادات'!$B$4,"اليوم","قادمة")))))</f>
        <v/>
      </c>
      <c r="K505" s="19">
        <f>IF(OR(J505="متأخرة",J505="اليوم"),'الإعدادات'!$B$4-E505,"")</f>
        <v/>
      </c>
      <c r="L505" s="19">
        <f>IF(OR(A505&amp;""="",NOT(ISNUMBER(F505))),"",'الإعدادات'!$B$4-F505)</f>
        <v/>
      </c>
      <c r="M505" s="19">
        <f>IF(OR(J505="متأخرة",J505="اليوم"),COUNTIFS($J$6:$J$505,"متأخرة",$E$6:$E$505,"&lt;"&amp;E505)+COUNTIFS($J$6:$J$505,"اليوم",$E$6:$E$505,"&lt;"&amp;E505)+COUNTIFS($E$6:E505,E505&amp;"",$J$6:J505,J505),"")</f>
        <v/>
      </c>
    </row>
  </sheetData>
  <autoFilter ref="A5:M505"/>
  <mergeCells count="2">
    <mergeCell ref="A2:M2"/>
    <mergeCell ref="A1:M1"/>
  </mergeCells>
  <conditionalFormatting sqref="A6:M505">
    <cfRule type="expression" priority="1" dxfId="0">
      <formula>$J6="متأخرة"</formula>
    </cfRule>
    <cfRule type="expression" priority="2" dxfId="1">
      <formula>$J6="اليوم"</formula>
    </cfRule>
  </conditionalFormatting>
  <conditionalFormatting sqref="C6:C505">
    <cfRule type="expression" priority="3" dxfId="2">
      <formula>$C6="تم"</formula>
    </cfRule>
  </conditionalFormatting>
  <dataValidations count="2">
    <dataValidation sqref="B6:B505" showDropDown="0" showInputMessage="0" showErrorMessage="0" allowBlank="1" type="list">
      <formula1>='الإعدادات'!$A$16:$A$25</formula1>
    </dataValidation>
    <dataValidation sqref="C6:C505" showDropDown="0" showInputMessage="0" showErrorMessage="0" allowBlank="1" type="list">
      <formula1>='الإعدادات'!$A$8:$A$13</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I57"/>
  <sheetViews>
    <sheetView showGridLines="1" rightToLeft="1" workbookViewId="0">
      <pane ySplit="7" topLeftCell="A8" activePane="bottomLeft" state="frozen"/>
      <selection pane="bottomLeft" activeCell="A1" sqref="A1"/>
    </sheetView>
  </sheetViews>
  <sheetFormatPr baseColWidth="8" defaultRowHeight="15"/>
  <cols>
    <col width="6" customWidth="1" min="1" max="1"/>
    <col width="26" customWidth="1" min="2" max="2"/>
    <col width="12" customWidth="1" min="3" max="3"/>
    <col width="15" customWidth="1" min="4" max="4"/>
    <col width="15" customWidth="1" min="5" max="5"/>
    <col width="12" customWidth="1" min="6" max="6"/>
    <col width="15" customWidth="1" min="7" max="7"/>
    <col width="24" customWidth="1" min="8" max="8"/>
    <col width="12" customWidth="1" min="9" max="9"/>
  </cols>
  <sheetData>
    <row r="1" ht="26" customHeight="1">
      <c r="A1" s="10" t="inlineStr">
        <is>
          <t>شيت متابعة العملاء المحتملين والصفقات · قالب مجاني من Softwiro</t>
        </is>
      </c>
    </row>
    <row r="2">
      <c r="A2" s="11" t="inlineStr">
        <is>
          <t>عايز برنامج متابعة عملاء يدخل عليه كل مندوب ويصله تنبيه بمتابعاته؟ Softwiro تبنيه لك على طريقتك ← اضغط هنا</t>
        </is>
      </c>
    </row>
    <row r="4">
      <c r="A4" s="12" t="inlineStr">
        <is>
          <t>متأخرة</t>
        </is>
      </c>
      <c r="B4" s="20">
        <f>COUNTIF('الصفقات'!$J$6:$J$505,"متأخرة")</f>
        <v/>
      </c>
    </row>
    <row r="5">
      <c r="A5" s="12" t="inlineStr">
        <is>
          <t>متابعات اليوم</t>
        </is>
      </c>
      <c r="B5" s="20">
        <f>COUNTIF('الصفقات'!$J$6:$J$505,"اليوم")</f>
        <v/>
      </c>
    </row>
    <row r="7" ht="32" customHeight="1">
      <c r="A7" s="14" t="inlineStr">
        <is>
          <t>م</t>
        </is>
      </c>
      <c r="B7" s="14" t="inlineStr">
        <is>
          <t>العميل</t>
        </is>
      </c>
      <c r="C7" s="14" t="inlineStr">
        <is>
          <t>المرحلة</t>
        </is>
      </c>
      <c r="D7" s="14" t="inlineStr">
        <is>
          <t>قيمة الصفقة</t>
        </is>
      </c>
      <c r="E7" s="14" t="inlineStr">
        <is>
          <t>موعد المتابعة</t>
        </is>
      </c>
      <c r="F7" s="14" t="inlineStr">
        <is>
          <t>أيام التأخير</t>
        </is>
      </c>
      <c r="G7" s="14" t="inlineStr">
        <is>
          <t>آخر تواصل</t>
        </is>
      </c>
      <c r="H7" s="14" t="inlineStr">
        <is>
          <t>ملاحظة</t>
        </is>
      </c>
      <c r="I7" s="14" t="inlineStr">
        <is>
          <t>الحالة</t>
        </is>
      </c>
    </row>
    <row r="8">
      <c r="A8" s="6">
        <f>IF(1&lt;=$B$4+$B$5,1,"")</f>
        <v/>
      </c>
      <c r="B8" s="6">
        <f>IF($A8="","",INDEX('الصفقات'!$A$6:$A$505,MATCH($A8,'الصفقات'!$M$6:$M$505,0))&amp;"")</f>
        <v/>
      </c>
      <c r="C8" s="6">
        <f>IF($A8="","",INDEX('الصفقات'!$C$6:$C$505,MATCH($A8,'الصفقات'!$M$6:$M$505,0))&amp;"")</f>
        <v/>
      </c>
      <c r="D8" s="18">
        <f>IF($A8="","",INDEX('الصفقات'!$D$6:$D$505,MATCH($A8,'الصفقات'!$M$6:$M$505,0)))</f>
        <v/>
      </c>
      <c r="E8" s="21">
        <f>IF($A8="","",INDEX('الصفقات'!$E$6:$E$505,MATCH($A8,'الصفقات'!$M$6:$M$505,0)))</f>
        <v/>
      </c>
      <c r="F8" s="19">
        <f>IF($A8="","",INDEX('الصفقات'!$K$6:$K$505,MATCH($A8,'الصفقات'!$M$6:$M$505,0)))</f>
        <v/>
      </c>
      <c r="G8" s="21">
        <f>IF($A8="","",IF(INDEX('الصفقات'!$F$6:$F$505,MATCH($A8,'الصفقات'!$M$6:$M$505,0))="","",INDEX('الصفقات'!$F$6:$F$505,MATCH($A8,'الصفقات'!$M$6:$M$505,0))))</f>
        <v/>
      </c>
      <c r="H8" s="6">
        <f>IF($A8="","",INDEX('الصفقات'!$G$6:$G$505,MATCH($A8,'الصفقات'!$M$6:$M$505,0))&amp;"")</f>
        <v/>
      </c>
      <c r="I8" s="6">
        <f>IF($A8="","",INDEX('الصفقات'!$J$6:$J$505,MATCH($A8,'الصفقات'!$M$6:$M$505,0))&amp;"")</f>
        <v/>
      </c>
    </row>
    <row r="9">
      <c r="A9" s="6">
        <f>IF(2&lt;=$B$4+$B$5,2,"")</f>
        <v/>
      </c>
      <c r="B9" s="6">
        <f>IF($A9="","",INDEX('الصفقات'!$A$6:$A$505,MATCH($A9,'الصفقات'!$M$6:$M$505,0))&amp;"")</f>
        <v/>
      </c>
      <c r="C9" s="6">
        <f>IF($A9="","",INDEX('الصفقات'!$C$6:$C$505,MATCH($A9,'الصفقات'!$M$6:$M$505,0))&amp;"")</f>
        <v/>
      </c>
      <c r="D9" s="18">
        <f>IF($A9="","",INDEX('الصفقات'!$D$6:$D$505,MATCH($A9,'الصفقات'!$M$6:$M$505,0)))</f>
        <v/>
      </c>
      <c r="E9" s="21">
        <f>IF($A9="","",INDEX('الصفقات'!$E$6:$E$505,MATCH($A9,'الصفقات'!$M$6:$M$505,0)))</f>
        <v/>
      </c>
      <c r="F9" s="19">
        <f>IF($A9="","",INDEX('الصفقات'!$K$6:$K$505,MATCH($A9,'الصفقات'!$M$6:$M$505,0)))</f>
        <v/>
      </c>
      <c r="G9" s="21">
        <f>IF($A9="","",IF(INDEX('الصفقات'!$F$6:$F$505,MATCH($A9,'الصفقات'!$M$6:$M$505,0))="","",INDEX('الصفقات'!$F$6:$F$505,MATCH($A9,'الصفقات'!$M$6:$M$505,0))))</f>
        <v/>
      </c>
      <c r="H9" s="6">
        <f>IF($A9="","",INDEX('الصفقات'!$G$6:$G$505,MATCH($A9,'الصفقات'!$M$6:$M$505,0))&amp;"")</f>
        <v/>
      </c>
      <c r="I9" s="6">
        <f>IF($A9="","",INDEX('الصفقات'!$J$6:$J$505,MATCH($A9,'الصفقات'!$M$6:$M$505,0))&amp;"")</f>
        <v/>
      </c>
    </row>
    <row r="10">
      <c r="A10" s="6">
        <f>IF(3&lt;=$B$4+$B$5,3,"")</f>
        <v/>
      </c>
      <c r="B10" s="6">
        <f>IF($A10="","",INDEX('الصفقات'!$A$6:$A$505,MATCH($A10,'الصفقات'!$M$6:$M$505,0))&amp;"")</f>
        <v/>
      </c>
      <c r="C10" s="6">
        <f>IF($A10="","",INDEX('الصفقات'!$C$6:$C$505,MATCH($A10,'الصفقات'!$M$6:$M$505,0))&amp;"")</f>
        <v/>
      </c>
      <c r="D10" s="18">
        <f>IF($A10="","",INDEX('الصفقات'!$D$6:$D$505,MATCH($A10,'الصفقات'!$M$6:$M$505,0)))</f>
        <v/>
      </c>
      <c r="E10" s="21">
        <f>IF($A10="","",INDEX('الصفقات'!$E$6:$E$505,MATCH($A10,'الصفقات'!$M$6:$M$505,0)))</f>
        <v/>
      </c>
      <c r="F10" s="19">
        <f>IF($A10="","",INDEX('الصفقات'!$K$6:$K$505,MATCH($A10,'الصفقات'!$M$6:$M$505,0)))</f>
        <v/>
      </c>
      <c r="G10" s="21">
        <f>IF($A10="","",IF(INDEX('الصفقات'!$F$6:$F$505,MATCH($A10,'الصفقات'!$M$6:$M$505,0))="","",INDEX('الصفقات'!$F$6:$F$505,MATCH($A10,'الصفقات'!$M$6:$M$505,0))))</f>
        <v/>
      </c>
      <c r="H10" s="6">
        <f>IF($A10="","",INDEX('الصفقات'!$G$6:$G$505,MATCH($A10,'الصفقات'!$M$6:$M$505,0))&amp;"")</f>
        <v/>
      </c>
      <c r="I10" s="6">
        <f>IF($A10="","",INDEX('الصفقات'!$J$6:$J$505,MATCH($A10,'الصفقات'!$M$6:$M$505,0))&amp;"")</f>
        <v/>
      </c>
    </row>
    <row r="11">
      <c r="A11" s="6">
        <f>IF(4&lt;=$B$4+$B$5,4,"")</f>
        <v/>
      </c>
      <c r="B11" s="6">
        <f>IF($A11="","",INDEX('الصفقات'!$A$6:$A$505,MATCH($A11,'الصفقات'!$M$6:$M$505,0))&amp;"")</f>
        <v/>
      </c>
      <c r="C11" s="6">
        <f>IF($A11="","",INDEX('الصفقات'!$C$6:$C$505,MATCH($A11,'الصفقات'!$M$6:$M$505,0))&amp;"")</f>
        <v/>
      </c>
      <c r="D11" s="18">
        <f>IF($A11="","",INDEX('الصفقات'!$D$6:$D$505,MATCH($A11,'الصفقات'!$M$6:$M$505,0)))</f>
        <v/>
      </c>
      <c r="E11" s="21">
        <f>IF($A11="","",INDEX('الصفقات'!$E$6:$E$505,MATCH($A11,'الصفقات'!$M$6:$M$505,0)))</f>
        <v/>
      </c>
      <c r="F11" s="19">
        <f>IF($A11="","",INDEX('الصفقات'!$K$6:$K$505,MATCH($A11,'الصفقات'!$M$6:$M$505,0)))</f>
        <v/>
      </c>
      <c r="G11" s="21">
        <f>IF($A11="","",IF(INDEX('الصفقات'!$F$6:$F$505,MATCH($A11,'الصفقات'!$M$6:$M$505,0))="","",INDEX('الصفقات'!$F$6:$F$505,MATCH($A11,'الصفقات'!$M$6:$M$505,0))))</f>
        <v/>
      </c>
      <c r="H11" s="6">
        <f>IF($A11="","",INDEX('الصفقات'!$G$6:$G$505,MATCH($A11,'الصفقات'!$M$6:$M$505,0))&amp;"")</f>
        <v/>
      </c>
      <c r="I11" s="6">
        <f>IF($A11="","",INDEX('الصفقات'!$J$6:$J$505,MATCH($A11,'الصفقات'!$M$6:$M$505,0))&amp;"")</f>
        <v/>
      </c>
    </row>
    <row r="12">
      <c r="A12" s="6">
        <f>IF(5&lt;=$B$4+$B$5,5,"")</f>
        <v/>
      </c>
      <c r="B12" s="6">
        <f>IF($A12="","",INDEX('الصفقات'!$A$6:$A$505,MATCH($A12,'الصفقات'!$M$6:$M$505,0))&amp;"")</f>
        <v/>
      </c>
      <c r="C12" s="6">
        <f>IF($A12="","",INDEX('الصفقات'!$C$6:$C$505,MATCH($A12,'الصفقات'!$M$6:$M$505,0))&amp;"")</f>
        <v/>
      </c>
      <c r="D12" s="18">
        <f>IF($A12="","",INDEX('الصفقات'!$D$6:$D$505,MATCH($A12,'الصفقات'!$M$6:$M$505,0)))</f>
        <v/>
      </c>
      <c r="E12" s="21">
        <f>IF($A12="","",INDEX('الصفقات'!$E$6:$E$505,MATCH($A12,'الصفقات'!$M$6:$M$505,0)))</f>
        <v/>
      </c>
      <c r="F12" s="19">
        <f>IF($A12="","",INDEX('الصفقات'!$K$6:$K$505,MATCH($A12,'الصفقات'!$M$6:$M$505,0)))</f>
        <v/>
      </c>
      <c r="G12" s="21">
        <f>IF($A12="","",IF(INDEX('الصفقات'!$F$6:$F$505,MATCH($A12,'الصفقات'!$M$6:$M$505,0))="","",INDEX('الصفقات'!$F$6:$F$505,MATCH($A12,'الصفقات'!$M$6:$M$505,0))))</f>
        <v/>
      </c>
      <c r="H12" s="6">
        <f>IF($A12="","",INDEX('الصفقات'!$G$6:$G$505,MATCH($A12,'الصفقات'!$M$6:$M$505,0))&amp;"")</f>
        <v/>
      </c>
      <c r="I12" s="6">
        <f>IF($A12="","",INDEX('الصفقات'!$J$6:$J$505,MATCH($A12,'الصفقات'!$M$6:$M$505,0))&amp;"")</f>
        <v/>
      </c>
    </row>
    <row r="13">
      <c r="A13" s="6">
        <f>IF(6&lt;=$B$4+$B$5,6,"")</f>
        <v/>
      </c>
      <c r="B13" s="6">
        <f>IF($A13="","",INDEX('الصفقات'!$A$6:$A$505,MATCH($A13,'الصفقات'!$M$6:$M$505,0))&amp;"")</f>
        <v/>
      </c>
      <c r="C13" s="6">
        <f>IF($A13="","",INDEX('الصفقات'!$C$6:$C$505,MATCH($A13,'الصفقات'!$M$6:$M$505,0))&amp;"")</f>
        <v/>
      </c>
      <c r="D13" s="18">
        <f>IF($A13="","",INDEX('الصفقات'!$D$6:$D$505,MATCH($A13,'الصفقات'!$M$6:$M$505,0)))</f>
        <v/>
      </c>
      <c r="E13" s="21">
        <f>IF($A13="","",INDEX('الصفقات'!$E$6:$E$505,MATCH($A13,'الصفقات'!$M$6:$M$505,0)))</f>
        <v/>
      </c>
      <c r="F13" s="19">
        <f>IF($A13="","",INDEX('الصفقات'!$K$6:$K$505,MATCH($A13,'الصفقات'!$M$6:$M$505,0)))</f>
        <v/>
      </c>
      <c r="G13" s="21">
        <f>IF($A13="","",IF(INDEX('الصفقات'!$F$6:$F$505,MATCH($A13,'الصفقات'!$M$6:$M$505,0))="","",INDEX('الصفقات'!$F$6:$F$505,MATCH($A13,'الصفقات'!$M$6:$M$505,0))))</f>
        <v/>
      </c>
      <c r="H13" s="6">
        <f>IF($A13="","",INDEX('الصفقات'!$G$6:$G$505,MATCH($A13,'الصفقات'!$M$6:$M$505,0))&amp;"")</f>
        <v/>
      </c>
      <c r="I13" s="6">
        <f>IF($A13="","",INDEX('الصفقات'!$J$6:$J$505,MATCH($A13,'الصفقات'!$M$6:$M$505,0))&amp;"")</f>
        <v/>
      </c>
    </row>
    <row r="14">
      <c r="A14" s="6">
        <f>IF(7&lt;=$B$4+$B$5,7,"")</f>
        <v/>
      </c>
      <c r="B14" s="6">
        <f>IF($A14="","",INDEX('الصفقات'!$A$6:$A$505,MATCH($A14,'الصفقات'!$M$6:$M$505,0))&amp;"")</f>
        <v/>
      </c>
      <c r="C14" s="6">
        <f>IF($A14="","",INDEX('الصفقات'!$C$6:$C$505,MATCH($A14,'الصفقات'!$M$6:$M$505,0))&amp;"")</f>
        <v/>
      </c>
      <c r="D14" s="18">
        <f>IF($A14="","",INDEX('الصفقات'!$D$6:$D$505,MATCH($A14,'الصفقات'!$M$6:$M$505,0)))</f>
        <v/>
      </c>
      <c r="E14" s="21">
        <f>IF($A14="","",INDEX('الصفقات'!$E$6:$E$505,MATCH($A14,'الصفقات'!$M$6:$M$505,0)))</f>
        <v/>
      </c>
      <c r="F14" s="19">
        <f>IF($A14="","",INDEX('الصفقات'!$K$6:$K$505,MATCH($A14,'الصفقات'!$M$6:$M$505,0)))</f>
        <v/>
      </c>
      <c r="G14" s="21">
        <f>IF($A14="","",IF(INDEX('الصفقات'!$F$6:$F$505,MATCH($A14,'الصفقات'!$M$6:$M$505,0))="","",INDEX('الصفقات'!$F$6:$F$505,MATCH($A14,'الصفقات'!$M$6:$M$505,0))))</f>
        <v/>
      </c>
      <c r="H14" s="6">
        <f>IF($A14="","",INDEX('الصفقات'!$G$6:$G$505,MATCH($A14,'الصفقات'!$M$6:$M$505,0))&amp;"")</f>
        <v/>
      </c>
      <c r="I14" s="6">
        <f>IF($A14="","",INDEX('الصفقات'!$J$6:$J$505,MATCH($A14,'الصفقات'!$M$6:$M$505,0))&amp;"")</f>
        <v/>
      </c>
    </row>
    <row r="15">
      <c r="A15" s="6">
        <f>IF(8&lt;=$B$4+$B$5,8,"")</f>
        <v/>
      </c>
      <c r="B15" s="6">
        <f>IF($A15="","",INDEX('الصفقات'!$A$6:$A$505,MATCH($A15,'الصفقات'!$M$6:$M$505,0))&amp;"")</f>
        <v/>
      </c>
      <c r="C15" s="6">
        <f>IF($A15="","",INDEX('الصفقات'!$C$6:$C$505,MATCH($A15,'الصفقات'!$M$6:$M$505,0))&amp;"")</f>
        <v/>
      </c>
      <c r="D15" s="18">
        <f>IF($A15="","",INDEX('الصفقات'!$D$6:$D$505,MATCH($A15,'الصفقات'!$M$6:$M$505,0)))</f>
        <v/>
      </c>
      <c r="E15" s="21">
        <f>IF($A15="","",INDEX('الصفقات'!$E$6:$E$505,MATCH($A15,'الصفقات'!$M$6:$M$505,0)))</f>
        <v/>
      </c>
      <c r="F15" s="19">
        <f>IF($A15="","",INDEX('الصفقات'!$K$6:$K$505,MATCH($A15,'الصفقات'!$M$6:$M$505,0)))</f>
        <v/>
      </c>
      <c r="G15" s="21">
        <f>IF($A15="","",IF(INDEX('الصفقات'!$F$6:$F$505,MATCH($A15,'الصفقات'!$M$6:$M$505,0))="","",INDEX('الصفقات'!$F$6:$F$505,MATCH($A15,'الصفقات'!$M$6:$M$505,0))))</f>
        <v/>
      </c>
      <c r="H15" s="6">
        <f>IF($A15="","",INDEX('الصفقات'!$G$6:$G$505,MATCH($A15,'الصفقات'!$M$6:$M$505,0))&amp;"")</f>
        <v/>
      </c>
      <c r="I15" s="6">
        <f>IF($A15="","",INDEX('الصفقات'!$J$6:$J$505,MATCH($A15,'الصفقات'!$M$6:$M$505,0))&amp;"")</f>
        <v/>
      </c>
    </row>
    <row r="16">
      <c r="A16" s="6">
        <f>IF(9&lt;=$B$4+$B$5,9,"")</f>
        <v/>
      </c>
      <c r="B16" s="6">
        <f>IF($A16="","",INDEX('الصفقات'!$A$6:$A$505,MATCH($A16,'الصفقات'!$M$6:$M$505,0))&amp;"")</f>
        <v/>
      </c>
      <c r="C16" s="6">
        <f>IF($A16="","",INDEX('الصفقات'!$C$6:$C$505,MATCH($A16,'الصفقات'!$M$6:$M$505,0))&amp;"")</f>
        <v/>
      </c>
      <c r="D16" s="18">
        <f>IF($A16="","",INDEX('الصفقات'!$D$6:$D$505,MATCH($A16,'الصفقات'!$M$6:$M$505,0)))</f>
        <v/>
      </c>
      <c r="E16" s="21">
        <f>IF($A16="","",INDEX('الصفقات'!$E$6:$E$505,MATCH($A16,'الصفقات'!$M$6:$M$505,0)))</f>
        <v/>
      </c>
      <c r="F16" s="19">
        <f>IF($A16="","",INDEX('الصفقات'!$K$6:$K$505,MATCH($A16,'الصفقات'!$M$6:$M$505,0)))</f>
        <v/>
      </c>
      <c r="G16" s="21">
        <f>IF($A16="","",IF(INDEX('الصفقات'!$F$6:$F$505,MATCH($A16,'الصفقات'!$M$6:$M$505,0))="","",INDEX('الصفقات'!$F$6:$F$505,MATCH($A16,'الصفقات'!$M$6:$M$505,0))))</f>
        <v/>
      </c>
      <c r="H16" s="6">
        <f>IF($A16="","",INDEX('الصفقات'!$G$6:$G$505,MATCH($A16,'الصفقات'!$M$6:$M$505,0))&amp;"")</f>
        <v/>
      </c>
      <c r="I16" s="6">
        <f>IF($A16="","",INDEX('الصفقات'!$J$6:$J$505,MATCH($A16,'الصفقات'!$M$6:$M$505,0))&amp;"")</f>
        <v/>
      </c>
    </row>
    <row r="17">
      <c r="A17" s="6">
        <f>IF(10&lt;=$B$4+$B$5,10,"")</f>
        <v/>
      </c>
      <c r="B17" s="6">
        <f>IF($A17="","",INDEX('الصفقات'!$A$6:$A$505,MATCH($A17,'الصفقات'!$M$6:$M$505,0))&amp;"")</f>
        <v/>
      </c>
      <c r="C17" s="6">
        <f>IF($A17="","",INDEX('الصفقات'!$C$6:$C$505,MATCH($A17,'الصفقات'!$M$6:$M$505,0))&amp;"")</f>
        <v/>
      </c>
      <c r="D17" s="18">
        <f>IF($A17="","",INDEX('الصفقات'!$D$6:$D$505,MATCH($A17,'الصفقات'!$M$6:$M$505,0)))</f>
        <v/>
      </c>
      <c r="E17" s="21">
        <f>IF($A17="","",INDEX('الصفقات'!$E$6:$E$505,MATCH($A17,'الصفقات'!$M$6:$M$505,0)))</f>
        <v/>
      </c>
      <c r="F17" s="19">
        <f>IF($A17="","",INDEX('الصفقات'!$K$6:$K$505,MATCH($A17,'الصفقات'!$M$6:$M$505,0)))</f>
        <v/>
      </c>
      <c r="G17" s="21">
        <f>IF($A17="","",IF(INDEX('الصفقات'!$F$6:$F$505,MATCH($A17,'الصفقات'!$M$6:$M$505,0))="","",INDEX('الصفقات'!$F$6:$F$505,MATCH($A17,'الصفقات'!$M$6:$M$505,0))))</f>
        <v/>
      </c>
      <c r="H17" s="6">
        <f>IF($A17="","",INDEX('الصفقات'!$G$6:$G$505,MATCH($A17,'الصفقات'!$M$6:$M$505,0))&amp;"")</f>
        <v/>
      </c>
      <c r="I17" s="6">
        <f>IF($A17="","",INDEX('الصفقات'!$J$6:$J$505,MATCH($A17,'الصفقات'!$M$6:$M$505,0))&amp;"")</f>
        <v/>
      </c>
    </row>
    <row r="18">
      <c r="A18" s="6">
        <f>IF(11&lt;=$B$4+$B$5,11,"")</f>
        <v/>
      </c>
      <c r="B18" s="6">
        <f>IF($A18="","",INDEX('الصفقات'!$A$6:$A$505,MATCH($A18,'الصفقات'!$M$6:$M$505,0))&amp;"")</f>
        <v/>
      </c>
      <c r="C18" s="6">
        <f>IF($A18="","",INDEX('الصفقات'!$C$6:$C$505,MATCH($A18,'الصفقات'!$M$6:$M$505,0))&amp;"")</f>
        <v/>
      </c>
      <c r="D18" s="18">
        <f>IF($A18="","",INDEX('الصفقات'!$D$6:$D$505,MATCH($A18,'الصفقات'!$M$6:$M$505,0)))</f>
        <v/>
      </c>
      <c r="E18" s="21">
        <f>IF($A18="","",INDEX('الصفقات'!$E$6:$E$505,MATCH($A18,'الصفقات'!$M$6:$M$505,0)))</f>
        <v/>
      </c>
      <c r="F18" s="19">
        <f>IF($A18="","",INDEX('الصفقات'!$K$6:$K$505,MATCH($A18,'الصفقات'!$M$6:$M$505,0)))</f>
        <v/>
      </c>
      <c r="G18" s="21">
        <f>IF($A18="","",IF(INDEX('الصفقات'!$F$6:$F$505,MATCH($A18,'الصفقات'!$M$6:$M$505,0))="","",INDEX('الصفقات'!$F$6:$F$505,MATCH($A18,'الصفقات'!$M$6:$M$505,0))))</f>
        <v/>
      </c>
      <c r="H18" s="6">
        <f>IF($A18="","",INDEX('الصفقات'!$G$6:$G$505,MATCH($A18,'الصفقات'!$M$6:$M$505,0))&amp;"")</f>
        <v/>
      </c>
      <c r="I18" s="6">
        <f>IF($A18="","",INDEX('الصفقات'!$J$6:$J$505,MATCH($A18,'الصفقات'!$M$6:$M$505,0))&amp;"")</f>
        <v/>
      </c>
    </row>
    <row r="19">
      <c r="A19" s="6">
        <f>IF(12&lt;=$B$4+$B$5,12,"")</f>
        <v/>
      </c>
      <c r="B19" s="6">
        <f>IF($A19="","",INDEX('الصفقات'!$A$6:$A$505,MATCH($A19,'الصفقات'!$M$6:$M$505,0))&amp;"")</f>
        <v/>
      </c>
      <c r="C19" s="6">
        <f>IF($A19="","",INDEX('الصفقات'!$C$6:$C$505,MATCH($A19,'الصفقات'!$M$6:$M$505,0))&amp;"")</f>
        <v/>
      </c>
      <c r="D19" s="18">
        <f>IF($A19="","",INDEX('الصفقات'!$D$6:$D$505,MATCH($A19,'الصفقات'!$M$6:$M$505,0)))</f>
        <v/>
      </c>
      <c r="E19" s="21">
        <f>IF($A19="","",INDEX('الصفقات'!$E$6:$E$505,MATCH($A19,'الصفقات'!$M$6:$M$505,0)))</f>
        <v/>
      </c>
      <c r="F19" s="19">
        <f>IF($A19="","",INDEX('الصفقات'!$K$6:$K$505,MATCH($A19,'الصفقات'!$M$6:$M$505,0)))</f>
        <v/>
      </c>
      <c r="G19" s="21">
        <f>IF($A19="","",IF(INDEX('الصفقات'!$F$6:$F$505,MATCH($A19,'الصفقات'!$M$6:$M$505,0))="","",INDEX('الصفقات'!$F$6:$F$505,MATCH($A19,'الصفقات'!$M$6:$M$505,0))))</f>
        <v/>
      </c>
      <c r="H19" s="6">
        <f>IF($A19="","",INDEX('الصفقات'!$G$6:$G$505,MATCH($A19,'الصفقات'!$M$6:$M$505,0))&amp;"")</f>
        <v/>
      </c>
      <c r="I19" s="6">
        <f>IF($A19="","",INDEX('الصفقات'!$J$6:$J$505,MATCH($A19,'الصفقات'!$M$6:$M$505,0))&amp;"")</f>
        <v/>
      </c>
    </row>
    <row r="20">
      <c r="A20" s="6">
        <f>IF(13&lt;=$B$4+$B$5,13,"")</f>
        <v/>
      </c>
      <c r="B20" s="6">
        <f>IF($A20="","",INDEX('الصفقات'!$A$6:$A$505,MATCH($A20,'الصفقات'!$M$6:$M$505,0))&amp;"")</f>
        <v/>
      </c>
      <c r="C20" s="6">
        <f>IF($A20="","",INDEX('الصفقات'!$C$6:$C$505,MATCH($A20,'الصفقات'!$M$6:$M$505,0))&amp;"")</f>
        <v/>
      </c>
      <c r="D20" s="18">
        <f>IF($A20="","",INDEX('الصفقات'!$D$6:$D$505,MATCH($A20,'الصفقات'!$M$6:$M$505,0)))</f>
        <v/>
      </c>
      <c r="E20" s="21">
        <f>IF($A20="","",INDEX('الصفقات'!$E$6:$E$505,MATCH($A20,'الصفقات'!$M$6:$M$505,0)))</f>
        <v/>
      </c>
      <c r="F20" s="19">
        <f>IF($A20="","",INDEX('الصفقات'!$K$6:$K$505,MATCH($A20,'الصفقات'!$M$6:$M$505,0)))</f>
        <v/>
      </c>
      <c r="G20" s="21">
        <f>IF($A20="","",IF(INDEX('الصفقات'!$F$6:$F$505,MATCH($A20,'الصفقات'!$M$6:$M$505,0))="","",INDEX('الصفقات'!$F$6:$F$505,MATCH($A20,'الصفقات'!$M$6:$M$505,0))))</f>
        <v/>
      </c>
      <c r="H20" s="6">
        <f>IF($A20="","",INDEX('الصفقات'!$G$6:$G$505,MATCH($A20,'الصفقات'!$M$6:$M$505,0))&amp;"")</f>
        <v/>
      </c>
      <c r="I20" s="6">
        <f>IF($A20="","",INDEX('الصفقات'!$J$6:$J$505,MATCH($A20,'الصفقات'!$M$6:$M$505,0))&amp;"")</f>
        <v/>
      </c>
    </row>
    <row r="21">
      <c r="A21" s="6">
        <f>IF(14&lt;=$B$4+$B$5,14,"")</f>
        <v/>
      </c>
      <c r="B21" s="6">
        <f>IF($A21="","",INDEX('الصفقات'!$A$6:$A$505,MATCH($A21,'الصفقات'!$M$6:$M$505,0))&amp;"")</f>
        <v/>
      </c>
      <c r="C21" s="6">
        <f>IF($A21="","",INDEX('الصفقات'!$C$6:$C$505,MATCH($A21,'الصفقات'!$M$6:$M$505,0))&amp;"")</f>
        <v/>
      </c>
      <c r="D21" s="18">
        <f>IF($A21="","",INDEX('الصفقات'!$D$6:$D$505,MATCH($A21,'الصفقات'!$M$6:$M$505,0)))</f>
        <v/>
      </c>
      <c r="E21" s="21">
        <f>IF($A21="","",INDEX('الصفقات'!$E$6:$E$505,MATCH($A21,'الصفقات'!$M$6:$M$505,0)))</f>
        <v/>
      </c>
      <c r="F21" s="19">
        <f>IF($A21="","",INDEX('الصفقات'!$K$6:$K$505,MATCH($A21,'الصفقات'!$M$6:$M$505,0)))</f>
        <v/>
      </c>
      <c r="G21" s="21">
        <f>IF($A21="","",IF(INDEX('الصفقات'!$F$6:$F$505,MATCH($A21,'الصفقات'!$M$6:$M$505,0))="","",INDEX('الصفقات'!$F$6:$F$505,MATCH($A21,'الصفقات'!$M$6:$M$505,0))))</f>
        <v/>
      </c>
      <c r="H21" s="6">
        <f>IF($A21="","",INDEX('الصفقات'!$G$6:$G$505,MATCH($A21,'الصفقات'!$M$6:$M$505,0))&amp;"")</f>
        <v/>
      </c>
      <c r="I21" s="6">
        <f>IF($A21="","",INDEX('الصفقات'!$J$6:$J$505,MATCH($A21,'الصفقات'!$M$6:$M$505,0))&amp;"")</f>
        <v/>
      </c>
    </row>
    <row r="22">
      <c r="A22" s="6">
        <f>IF(15&lt;=$B$4+$B$5,15,"")</f>
        <v/>
      </c>
      <c r="B22" s="6">
        <f>IF($A22="","",INDEX('الصفقات'!$A$6:$A$505,MATCH($A22,'الصفقات'!$M$6:$M$505,0))&amp;"")</f>
        <v/>
      </c>
      <c r="C22" s="6">
        <f>IF($A22="","",INDEX('الصفقات'!$C$6:$C$505,MATCH($A22,'الصفقات'!$M$6:$M$505,0))&amp;"")</f>
        <v/>
      </c>
      <c r="D22" s="18">
        <f>IF($A22="","",INDEX('الصفقات'!$D$6:$D$505,MATCH($A22,'الصفقات'!$M$6:$M$505,0)))</f>
        <v/>
      </c>
      <c r="E22" s="21">
        <f>IF($A22="","",INDEX('الصفقات'!$E$6:$E$505,MATCH($A22,'الصفقات'!$M$6:$M$505,0)))</f>
        <v/>
      </c>
      <c r="F22" s="19">
        <f>IF($A22="","",INDEX('الصفقات'!$K$6:$K$505,MATCH($A22,'الصفقات'!$M$6:$M$505,0)))</f>
        <v/>
      </c>
      <c r="G22" s="21">
        <f>IF($A22="","",IF(INDEX('الصفقات'!$F$6:$F$505,MATCH($A22,'الصفقات'!$M$6:$M$505,0))="","",INDEX('الصفقات'!$F$6:$F$505,MATCH($A22,'الصفقات'!$M$6:$M$505,0))))</f>
        <v/>
      </c>
      <c r="H22" s="6">
        <f>IF($A22="","",INDEX('الصفقات'!$G$6:$G$505,MATCH($A22,'الصفقات'!$M$6:$M$505,0))&amp;"")</f>
        <v/>
      </c>
      <c r="I22" s="6">
        <f>IF($A22="","",INDEX('الصفقات'!$J$6:$J$505,MATCH($A22,'الصفقات'!$M$6:$M$505,0))&amp;"")</f>
        <v/>
      </c>
    </row>
    <row r="23">
      <c r="A23" s="6">
        <f>IF(16&lt;=$B$4+$B$5,16,"")</f>
        <v/>
      </c>
      <c r="B23" s="6">
        <f>IF($A23="","",INDEX('الصفقات'!$A$6:$A$505,MATCH($A23,'الصفقات'!$M$6:$M$505,0))&amp;"")</f>
        <v/>
      </c>
      <c r="C23" s="6">
        <f>IF($A23="","",INDEX('الصفقات'!$C$6:$C$505,MATCH($A23,'الصفقات'!$M$6:$M$505,0))&amp;"")</f>
        <v/>
      </c>
      <c r="D23" s="18">
        <f>IF($A23="","",INDEX('الصفقات'!$D$6:$D$505,MATCH($A23,'الصفقات'!$M$6:$M$505,0)))</f>
        <v/>
      </c>
      <c r="E23" s="21">
        <f>IF($A23="","",INDEX('الصفقات'!$E$6:$E$505,MATCH($A23,'الصفقات'!$M$6:$M$505,0)))</f>
        <v/>
      </c>
      <c r="F23" s="19">
        <f>IF($A23="","",INDEX('الصفقات'!$K$6:$K$505,MATCH($A23,'الصفقات'!$M$6:$M$505,0)))</f>
        <v/>
      </c>
      <c r="G23" s="21">
        <f>IF($A23="","",IF(INDEX('الصفقات'!$F$6:$F$505,MATCH($A23,'الصفقات'!$M$6:$M$505,0))="","",INDEX('الصفقات'!$F$6:$F$505,MATCH($A23,'الصفقات'!$M$6:$M$505,0))))</f>
        <v/>
      </c>
      <c r="H23" s="6">
        <f>IF($A23="","",INDEX('الصفقات'!$G$6:$G$505,MATCH($A23,'الصفقات'!$M$6:$M$505,0))&amp;"")</f>
        <v/>
      </c>
      <c r="I23" s="6">
        <f>IF($A23="","",INDEX('الصفقات'!$J$6:$J$505,MATCH($A23,'الصفقات'!$M$6:$M$505,0))&amp;"")</f>
        <v/>
      </c>
    </row>
    <row r="24">
      <c r="A24" s="6">
        <f>IF(17&lt;=$B$4+$B$5,17,"")</f>
        <v/>
      </c>
      <c r="B24" s="6">
        <f>IF($A24="","",INDEX('الصفقات'!$A$6:$A$505,MATCH($A24,'الصفقات'!$M$6:$M$505,0))&amp;"")</f>
        <v/>
      </c>
      <c r="C24" s="6">
        <f>IF($A24="","",INDEX('الصفقات'!$C$6:$C$505,MATCH($A24,'الصفقات'!$M$6:$M$505,0))&amp;"")</f>
        <v/>
      </c>
      <c r="D24" s="18">
        <f>IF($A24="","",INDEX('الصفقات'!$D$6:$D$505,MATCH($A24,'الصفقات'!$M$6:$M$505,0)))</f>
        <v/>
      </c>
      <c r="E24" s="21">
        <f>IF($A24="","",INDEX('الصفقات'!$E$6:$E$505,MATCH($A24,'الصفقات'!$M$6:$M$505,0)))</f>
        <v/>
      </c>
      <c r="F24" s="19">
        <f>IF($A24="","",INDEX('الصفقات'!$K$6:$K$505,MATCH($A24,'الصفقات'!$M$6:$M$505,0)))</f>
        <v/>
      </c>
      <c r="G24" s="21">
        <f>IF($A24="","",IF(INDEX('الصفقات'!$F$6:$F$505,MATCH($A24,'الصفقات'!$M$6:$M$505,0))="","",INDEX('الصفقات'!$F$6:$F$505,MATCH($A24,'الصفقات'!$M$6:$M$505,0))))</f>
        <v/>
      </c>
      <c r="H24" s="6">
        <f>IF($A24="","",INDEX('الصفقات'!$G$6:$G$505,MATCH($A24,'الصفقات'!$M$6:$M$505,0))&amp;"")</f>
        <v/>
      </c>
      <c r="I24" s="6">
        <f>IF($A24="","",INDEX('الصفقات'!$J$6:$J$505,MATCH($A24,'الصفقات'!$M$6:$M$505,0))&amp;"")</f>
        <v/>
      </c>
    </row>
    <row r="25">
      <c r="A25" s="6">
        <f>IF(18&lt;=$B$4+$B$5,18,"")</f>
        <v/>
      </c>
      <c r="B25" s="6">
        <f>IF($A25="","",INDEX('الصفقات'!$A$6:$A$505,MATCH($A25,'الصفقات'!$M$6:$M$505,0))&amp;"")</f>
        <v/>
      </c>
      <c r="C25" s="6">
        <f>IF($A25="","",INDEX('الصفقات'!$C$6:$C$505,MATCH($A25,'الصفقات'!$M$6:$M$505,0))&amp;"")</f>
        <v/>
      </c>
      <c r="D25" s="18">
        <f>IF($A25="","",INDEX('الصفقات'!$D$6:$D$505,MATCH($A25,'الصفقات'!$M$6:$M$505,0)))</f>
        <v/>
      </c>
      <c r="E25" s="21">
        <f>IF($A25="","",INDEX('الصفقات'!$E$6:$E$505,MATCH($A25,'الصفقات'!$M$6:$M$505,0)))</f>
        <v/>
      </c>
      <c r="F25" s="19">
        <f>IF($A25="","",INDEX('الصفقات'!$K$6:$K$505,MATCH($A25,'الصفقات'!$M$6:$M$505,0)))</f>
        <v/>
      </c>
      <c r="G25" s="21">
        <f>IF($A25="","",IF(INDEX('الصفقات'!$F$6:$F$505,MATCH($A25,'الصفقات'!$M$6:$M$505,0))="","",INDEX('الصفقات'!$F$6:$F$505,MATCH($A25,'الصفقات'!$M$6:$M$505,0))))</f>
        <v/>
      </c>
      <c r="H25" s="6">
        <f>IF($A25="","",INDEX('الصفقات'!$G$6:$G$505,MATCH($A25,'الصفقات'!$M$6:$M$505,0))&amp;"")</f>
        <v/>
      </c>
      <c r="I25" s="6">
        <f>IF($A25="","",INDEX('الصفقات'!$J$6:$J$505,MATCH($A25,'الصفقات'!$M$6:$M$505,0))&amp;"")</f>
        <v/>
      </c>
    </row>
    <row r="26">
      <c r="A26" s="6">
        <f>IF(19&lt;=$B$4+$B$5,19,"")</f>
        <v/>
      </c>
      <c r="B26" s="6">
        <f>IF($A26="","",INDEX('الصفقات'!$A$6:$A$505,MATCH($A26,'الصفقات'!$M$6:$M$505,0))&amp;"")</f>
        <v/>
      </c>
      <c r="C26" s="6">
        <f>IF($A26="","",INDEX('الصفقات'!$C$6:$C$505,MATCH($A26,'الصفقات'!$M$6:$M$505,0))&amp;"")</f>
        <v/>
      </c>
      <c r="D26" s="18">
        <f>IF($A26="","",INDEX('الصفقات'!$D$6:$D$505,MATCH($A26,'الصفقات'!$M$6:$M$505,0)))</f>
        <v/>
      </c>
      <c r="E26" s="21">
        <f>IF($A26="","",INDEX('الصفقات'!$E$6:$E$505,MATCH($A26,'الصفقات'!$M$6:$M$505,0)))</f>
        <v/>
      </c>
      <c r="F26" s="19">
        <f>IF($A26="","",INDEX('الصفقات'!$K$6:$K$505,MATCH($A26,'الصفقات'!$M$6:$M$505,0)))</f>
        <v/>
      </c>
      <c r="G26" s="21">
        <f>IF($A26="","",IF(INDEX('الصفقات'!$F$6:$F$505,MATCH($A26,'الصفقات'!$M$6:$M$505,0))="","",INDEX('الصفقات'!$F$6:$F$505,MATCH($A26,'الصفقات'!$M$6:$M$505,0))))</f>
        <v/>
      </c>
      <c r="H26" s="6">
        <f>IF($A26="","",INDEX('الصفقات'!$G$6:$G$505,MATCH($A26,'الصفقات'!$M$6:$M$505,0))&amp;"")</f>
        <v/>
      </c>
      <c r="I26" s="6">
        <f>IF($A26="","",INDEX('الصفقات'!$J$6:$J$505,MATCH($A26,'الصفقات'!$M$6:$M$505,0))&amp;"")</f>
        <v/>
      </c>
    </row>
    <row r="27">
      <c r="A27" s="6">
        <f>IF(20&lt;=$B$4+$B$5,20,"")</f>
        <v/>
      </c>
      <c r="B27" s="6">
        <f>IF($A27="","",INDEX('الصفقات'!$A$6:$A$505,MATCH($A27,'الصفقات'!$M$6:$M$505,0))&amp;"")</f>
        <v/>
      </c>
      <c r="C27" s="6">
        <f>IF($A27="","",INDEX('الصفقات'!$C$6:$C$505,MATCH($A27,'الصفقات'!$M$6:$M$505,0))&amp;"")</f>
        <v/>
      </c>
      <c r="D27" s="18">
        <f>IF($A27="","",INDEX('الصفقات'!$D$6:$D$505,MATCH($A27,'الصفقات'!$M$6:$M$505,0)))</f>
        <v/>
      </c>
      <c r="E27" s="21">
        <f>IF($A27="","",INDEX('الصفقات'!$E$6:$E$505,MATCH($A27,'الصفقات'!$M$6:$M$505,0)))</f>
        <v/>
      </c>
      <c r="F27" s="19">
        <f>IF($A27="","",INDEX('الصفقات'!$K$6:$K$505,MATCH($A27,'الصفقات'!$M$6:$M$505,0)))</f>
        <v/>
      </c>
      <c r="G27" s="21">
        <f>IF($A27="","",IF(INDEX('الصفقات'!$F$6:$F$505,MATCH($A27,'الصفقات'!$M$6:$M$505,0))="","",INDEX('الصفقات'!$F$6:$F$505,MATCH($A27,'الصفقات'!$M$6:$M$505,0))))</f>
        <v/>
      </c>
      <c r="H27" s="6">
        <f>IF($A27="","",INDEX('الصفقات'!$G$6:$G$505,MATCH($A27,'الصفقات'!$M$6:$M$505,0))&amp;"")</f>
        <v/>
      </c>
      <c r="I27" s="6">
        <f>IF($A27="","",INDEX('الصفقات'!$J$6:$J$505,MATCH($A27,'الصفقات'!$M$6:$M$505,0))&amp;"")</f>
        <v/>
      </c>
    </row>
    <row r="28">
      <c r="A28" s="6">
        <f>IF(21&lt;=$B$4+$B$5,21,"")</f>
        <v/>
      </c>
      <c r="B28" s="6">
        <f>IF($A28="","",INDEX('الصفقات'!$A$6:$A$505,MATCH($A28,'الصفقات'!$M$6:$M$505,0))&amp;"")</f>
        <v/>
      </c>
      <c r="C28" s="6">
        <f>IF($A28="","",INDEX('الصفقات'!$C$6:$C$505,MATCH($A28,'الصفقات'!$M$6:$M$505,0))&amp;"")</f>
        <v/>
      </c>
      <c r="D28" s="18">
        <f>IF($A28="","",INDEX('الصفقات'!$D$6:$D$505,MATCH($A28,'الصفقات'!$M$6:$M$505,0)))</f>
        <v/>
      </c>
      <c r="E28" s="21">
        <f>IF($A28="","",INDEX('الصفقات'!$E$6:$E$505,MATCH($A28,'الصفقات'!$M$6:$M$505,0)))</f>
        <v/>
      </c>
      <c r="F28" s="19">
        <f>IF($A28="","",INDEX('الصفقات'!$K$6:$K$505,MATCH($A28,'الصفقات'!$M$6:$M$505,0)))</f>
        <v/>
      </c>
      <c r="G28" s="21">
        <f>IF($A28="","",IF(INDEX('الصفقات'!$F$6:$F$505,MATCH($A28,'الصفقات'!$M$6:$M$505,0))="","",INDEX('الصفقات'!$F$6:$F$505,MATCH($A28,'الصفقات'!$M$6:$M$505,0))))</f>
        <v/>
      </c>
      <c r="H28" s="6">
        <f>IF($A28="","",INDEX('الصفقات'!$G$6:$G$505,MATCH($A28,'الصفقات'!$M$6:$M$505,0))&amp;"")</f>
        <v/>
      </c>
      <c r="I28" s="6">
        <f>IF($A28="","",INDEX('الصفقات'!$J$6:$J$505,MATCH($A28,'الصفقات'!$M$6:$M$505,0))&amp;"")</f>
        <v/>
      </c>
    </row>
    <row r="29">
      <c r="A29" s="6">
        <f>IF(22&lt;=$B$4+$B$5,22,"")</f>
        <v/>
      </c>
      <c r="B29" s="6">
        <f>IF($A29="","",INDEX('الصفقات'!$A$6:$A$505,MATCH($A29,'الصفقات'!$M$6:$M$505,0))&amp;"")</f>
        <v/>
      </c>
      <c r="C29" s="6">
        <f>IF($A29="","",INDEX('الصفقات'!$C$6:$C$505,MATCH($A29,'الصفقات'!$M$6:$M$505,0))&amp;"")</f>
        <v/>
      </c>
      <c r="D29" s="18">
        <f>IF($A29="","",INDEX('الصفقات'!$D$6:$D$505,MATCH($A29,'الصفقات'!$M$6:$M$505,0)))</f>
        <v/>
      </c>
      <c r="E29" s="21">
        <f>IF($A29="","",INDEX('الصفقات'!$E$6:$E$505,MATCH($A29,'الصفقات'!$M$6:$M$505,0)))</f>
        <v/>
      </c>
      <c r="F29" s="19">
        <f>IF($A29="","",INDEX('الصفقات'!$K$6:$K$505,MATCH($A29,'الصفقات'!$M$6:$M$505,0)))</f>
        <v/>
      </c>
      <c r="G29" s="21">
        <f>IF($A29="","",IF(INDEX('الصفقات'!$F$6:$F$505,MATCH($A29,'الصفقات'!$M$6:$M$505,0))="","",INDEX('الصفقات'!$F$6:$F$505,MATCH($A29,'الصفقات'!$M$6:$M$505,0))))</f>
        <v/>
      </c>
      <c r="H29" s="6">
        <f>IF($A29="","",INDEX('الصفقات'!$G$6:$G$505,MATCH($A29,'الصفقات'!$M$6:$M$505,0))&amp;"")</f>
        <v/>
      </c>
      <c r="I29" s="6">
        <f>IF($A29="","",INDEX('الصفقات'!$J$6:$J$505,MATCH($A29,'الصفقات'!$M$6:$M$505,0))&amp;"")</f>
        <v/>
      </c>
    </row>
    <row r="30">
      <c r="A30" s="6">
        <f>IF(23&lt;=$B$4+$B$5,23,"")</f>
        <v/>
      </c>
      <c r="B30" s="6">
        <f>IF($A30="","",INDEX('الصفقات'!$A$6:$A$505,MATCH($A30,'الصفقات'!$M$6:$M$505,0))&amp;"")</f>
        <v/>
      </c>
      <c r="C30" s="6">
        <f>IF($A30="","",INDEX('الصفقات'!$C$6:$C$505,MATCH($A30,'الصفقات'!$M$6:$M$505,0))&amp;"")</f>
        <v/>
      </c>
      <c r="D30" s="18">
        <f>IF($A30="","",INDEX('الصفقات'!$D$6:$D$505,MATCH($A30,'الصفقات'!$M$6:$M$505,0)))</f>
        <v/>
      </c>
      <c r="E30" s="21">
        <f>IF($A30="","",INDEX('الصفقات'!$E$6:$E$505,MATCH($A30,'الصفقات'!$M$6:$M$505,0)))</f>
        <v/>
      </c>
      <c r="F30" s="19">
        <f>IF($A30="","",INDEX('الصفقات'!$K$6:$K$505,MATCH($A30,'الصفقات'!$M$6:$M$505,0)))</f>
        <v/>
      </c>
      <c r="G30" s="21">
        <f>IF($A30="","",IF(INDEX('الصفقات'!$F$6:$F$505,MATCH($A30,'الصفقات'!$M$6:$M$505,0))="","",INDEX('الصفقات'!$F$6:$F$505,MATCH($A30,'الصفقات'!$M$6:$M$505,0))))</f>
        <v/>
      </c>
      <c r="H30" s="6">
        <f>IF($A30="","",INDEX('الصفقات'!$G$6:$G$505,MATCH($A30,'الصفقات'!$M$6:$M$505,0))&amp;"")</f>
        <v/>
      </c>
      <c r="I30" s="6">
        <f>IF($A30="","",INDEX('الصفقات'!$J$6:$J$505,MATCH($A30,'الصفقات'!$M$6:$M$505,0))&amp;"")</f>
        <v/>
      </c>
    </row>
    <row r="31">
      <c r="A31" s="6">
        <f>IF(24&lt;=$B$4+$B$5,24,"")</f>
        <v/>
      </c>
      <c r="B31" s="6">
        <f>IF($A31="","",INDEX('الصفقات'!$A$6:$A$505,MATCH($A31,'الصفقات'!$M$6:$M$505,0))&amp;"")</f>
        <v/>
      </c>
      <c r="C31" s="6">
        <f>IF($A31="","",INDEX('الصفقات'!$C$6:$C$505,MATCH($A31,'الصفقات'!$M$6:$M$505,0))&amp;"")</f>
        <v/>
      </c>
      <c r="D31" s="18">
        <f>IF($A31="","",INDEX('الصفقات'!$D$6:$D$505,MATCH($A31,'الصفقات'!$M$6:$M$505,0)))</f>
        <v/>
      </c>
      <c r="E31" s="21">
        <f>IF($A31="","",INDEX('الصفقات'!$E$6:$E$505,MATCH($A31,'الصفقات'!$M$6:$M$505,0)))</f>
        <v/>
      </c>
      <c r="F31" s="19">
        <f>IF($A31="","",INDEX('الصفقات'!$K$6:$K$505,MATCH($A31,'الصفقات'!$M$6:$M$505,0)))</f>
        <v/>
      </c>
      <c r="G31" s="21">
        <f>IF($A31="","",IF(INDEX('الصفقات'!$F$6:$F$505,MATCH($A31,'الصفقات'!$M$6:$M$505,0))="","",INDEX('الصفقات'!$F$6:$F$505,MATCH($A31,'الصفقات'!$M$6:$M$505,0))))</f>
        <v/>
      </c>
      <c r="H31" s="6">
        <f>IF($A31="","",INDEX('الصفقات'!$G$6:$G$505,MATCH($A31,'الصفقات'!$M$6:$M$505,0))&amp;"")</f>
        <v/>
      </c>
      <c r="I31" s="6">
        <f>IF($A31="","",INDEX('الصفقات'!$J$6:$J$505,MATCH($A31,'الصفقات'!$M$6:$M$505,0))&amp;"")</f>
        <v/>
      </c>
    </row>
    <row r="32">
      <c r="A32" s="6">
        <f>IF(25&lt;=$B$4+$B$5,25,"")</f>
        <v/>
      </c>
      <c r="B32" s="6">
        <f>IF($A32="","",INDEX('الصفقات'!$A$6:$A$505,MATCH($A32,'الصفقات'!$M$6:$M$505,0))&amp;"")</f>
        <v/>
      </c>
      <c r="C32" s="6">
        <f>IF($A32="","",INDEX('الصفقات'!$C$6:$C$505,MATCH($A32,'الصفقات'!$M$6:$M$505,0))&amp;"")</f>
        <v/>
      </c>
      <c r="D32" s="18">
        <f>IF($A32="","",INDEX('الصفقات'!$D$6:$D$505,MATCH($A32,'الصفقات'!$M$6:$M$505,0)))</f>
        <v/>
      </c>
      <c r="E32" s="21">
        <f>IF($A32="","",INDEX('الصفقات'!$E$6:$E$505,MATCH($A32,'الصفقات'!$M$6:$M$505,0)))</f>
        <v/>
      </c>
      <c r="F32" s="19">
        <f>IF($A32="","",INDEX('الصفقات'!$K$6:$K$505,MATCH($A32,'الصفقات'!$M$6:$M$505,0)))</f>
        <v/>
      </c>
      <c r="G32" s="21">
        <f>IF($A32="","",IF(INDEX('الصفقات'!$F$6:$F$505,MATCH($A32,'الصفقات'!$M$6:$M$505,0))="","",INDEX('الصفقات'!$F$6:$F$505,MATCH($A32,'الصفقات'!$M$6:$M$505,0))))</f>
        <v/>
      </c>
      <c r="H32" s="6">
        <f>IF($A32="","",INDEX('الصفقات'!$G$6:$G$505,MATCH($A32,'الصفقات'!$M$6:$M$505,0))&amp;"")</f>
        <v/>
      </c>
      <c r="I32" s="6">
        <f>IF($A32="","",INDEX('الصفقات'!$J$6:$J$505,MATCH($A32,'الصفقات'!$M$6:$M$505,0))&amp;"")</f>
        <v/>
      </c>
    </row>
    <row r="33">
      <c r="A33" s="6">
        <f>IF(26&lt;=$B$4+$B$5,26,"")</f>
        <v/>
      </c>
      <c r="B33" s="6">
        <f>IF($A33="","",INDEX('الصفقات'!$A$6:$A$505,MATCH($A33,'الصفقات'!$M$6:$M$505,0))&amp;"")</f>
        <v/>
      </c>
      <c r="C33" s="6">
        <f>IF($A33="","",INDEX('الصفقات'!$C$6:$C$505,MATCH($A33,'الصفقات'!$M$6:$M$505,0))&amp;"")</f>
        <v/>
      </c>
      <c r="D33" s="18">
        <f>IF($A33="","",INDEX('الصفقات'!$D$6:$D$505,MATCH($A33,'الصفقات'!$M$6:$M$505,0)))</f>
        <v/>
      </c>
      <c r="E33" s="21">
        <f>IF($A33="","",INDEX('الصفقات'!$E$6:$E$505,MATCH($A33,'الصفقات'!$M$6:$M$505,0)))</f>
        <v/>
      </c>
      <c r="F33" s="19">
        <f>IF($A33="","",INDEX('الصفقات'!$K$6:$K$505,MATCH($A33,'الصفقات'!$M$6:$M$505,0)))</f>
        <v/>
      </c>
      <c r="G33" s="21">
        <f>IF($A33="","",IF(INDEX('الصفقات'!$F$6:$F$505,MATCH($A33,'الصفقات'!$M$6:$M$505,0))="","",INDEX('الصفقات'!$F$6:$F$505,MATCH($A33,'الصفقات'!$M$6:$M$505,0))))</f>
        <v/>
      </c>
      <c r="H33" s="6">
        <f>IF($A33="","",INDEX('الصفقات'!$G$6:$G$505,MATCH($A33,'الصفقات'!$M$6:$M$505,0))&amp;"")</f>
        <v/>
      </c>
      <c r="I33" s="6">
        <f>IF($A33="","",INDEX('الصفقات'!$J$6:$J$505,MATCH($A33,'الصفقات'!$M$6:$M$505,0))&amp;"")</f>
        <v/>
      </c>
    </row>
    <row r="34">
      <c r="A34" s="6">
        <f>IF(27&lt;=$B$4+$B$5,27,"")</f>
        <v/>
      </c>
      <c r="B34" s="6">
        <f>IF($A34="","",INDEX('الصفقات'!$A$6:$A$505,MATCH($A34,'الصفقات'!$M$6:$M$505,0))&amp;"")</f>
        <v/>
      </c>
      <c r="C34" s="6">
        <f>IF($A34="","",INDEX('الصفقات'!$C$6:$C$505,MATCH($A34,'الصفقات'!$M$6:$M$505,0))&amp;"")</f>
        <v/>
      </c>
      <c r="D34" s="18">
        <f>IF($A34="","",INDEX('الصفقات'!$D$6:$D$505,MATCH($A34,'الصفقات'!$M$6:$M$505,0)))</f>
        <v/>
      </c>
      <c r="E34" s="21">
        <f>IF($A34="","",INDEX('الصفقات'!$E$6:$E$505,MATCH($A34,'الصفقات'!$M$6:$M$505,0)))</f>
        <v/>
      </c>
      <c r="F34" s="19">
        <f>IF($A34="","",INDEX('الصفقات'!$K$6:$K$505,MATCH($A34,'الصفقات'!$M$6:$M$505,0)))</f>
        <v/>
      </c>
      <c r="G34" s="21">
        <f>IF($A34="","",IF(INDEX('الصفقات'!$F$6:$F$505,MATCH($A34,'الصفقات'!$M$6:$M$505,0))="","",INDEX('الصفقات'!$F$6:$F$505,MATCH($A34,'الصفقات'!$M$6:$M$505,0))))</f>
        <v/>
      </c>
      <c r="H34" s="6">
        <f>IF($A34="","",INDEX('الصفقات'!$G$6:$G$505,MATCH($A34,'الصفقات'!$M$6:$M$505,0))&amp;"")</f>
        <v/>
      </c>
      <c r="I34" s="6">
        <f>IF($A34="","",INDEX('الصفقات'!$J$6:$J$505,MATCH($A34,'الصفقات'!$M$6:$M$505,0))&amp;"")</f>
        <v/>
      </c>
    </row>
    <row r="35">
      <c r="A35" s="6">
        <f>IF(28&lt;=$B$4+$B$5,28,"")</f>
        <v/>
      </c>
      <c r="B35" s="6">
        <f>IF($A35="","",INDEX('الصفقات'!$A$6:$A$505,MATCH($A35,'الصفقات'!$M$6:$M$505,0))&amp;"")</f>
        <v/>
      </c>
      <c r="C35" s="6">
        <f>IF($A35="","",INDEX('الصفقات'!$C$6:$C$505,MATCH($A35,'الصفقات'!$M$6:$M$505,0))&amp;"")</f>
        <v/>
      </c>
      <c r="D35" s="18">
        <f>IF($A35="","",INDEX('الصفقات'!$D$6:$D$505,MATCH($A35,'الصفقات'!$M$6:$M$505,0)))</f>
        <v/>
      </c>
      <c r="E35" s="21">
        <f>IF($A35="","",INDEX('الصفقات'!$E$6:$E$505,MATCH($A35,'الصفقات'!$M$6:$M$505,0)))</f>
        <v/>
      </c>
      <c r="F35" s="19">
        <f>IF($A35="","",INDEX('الصفقات'!$K$6:$K$505,MATCH($A35,'الصفقات'!$M$6:$M$505,0)))</f>
        <v/>
      </c>
      <c r="G35" s="21">
        <f>IF($A35="","",IF(INDEX('الصفقات'!$F$6:$F$505,MATCH($A35,'الصفقات'!$M$6:$M$505,0))="","",INDEX('الصفقات'!$F$6:$F$505,MATCH($A35,'الصفقات'!$M$6:$M$505,0))))</f>
        <v/>
      </c>
      <c r="H35" s="6">
        <f>IF($A35="","",INDEX('الصفقات'!$G$6:$G$505,MATCH($A35,'الصفقات'!$M$6:$M$505,0))&amp;"")</f>
        <v/>
      </c>
      <c r="I35" s="6">
        <f>IF($A35="","",INDEX('الصفقات'!$J$6:$J$505,MATCH($A35,'الصفقات'!$M$6:$M$505,0))&amp;"")</f>
        <v/>
      </c>
    </row>
    <row r="36">
      <c r="A36" s="6">
        <f>IF(29&lt;=$B$4+$B$5,29,"")</f>
        <v/>
      </c>
      <c r="B36" s="6">
        <f>IF($A36="","",INDEX('الصفقات'!$A$6:$A$505,MATCH($A36,'الصفقات'!$M$6:$M$505,0))&amp;"")</f>
        <v/>
      </c>
      <c r="C36" s="6">
        <f>IF($A36="","",INDEX('الصفقات'!$C$6:$C$505,MATCH($A36,'الصفقات'!$M$6:$M$505,0))&amp;"")</f>
        <v/>
      </c>
      <c r="D36" s="18">
        <f>IF($A36="","",INDEX('الصفقات'!$D$6:$D$505,MATCH($A36,'الصفقات'!$M$6:$M$505,0)))</f>
        <v/>
      </c>
      <c r="E36" s="21">
        <f>IF($A36="","",INDEX('الصفقات'!$E$6:$E$505,MATCH($A36,'الصفقات'!$M$6:$M$505,0)))</f>
        <v/>
      </c>
      <c r="F36" s="19">
        <f>IF($A36="","",INDEX('الصفقات'!$K$6:$K$505,MATCH($A36,'الصفقات'!$M$6:$M$505,0)))</f>
        <v/>
      </c>
      <c r="G36" s="21">
        <f>IF($A36="","",IF(INDEX('الصفقات'!$F$6:$F$505,MATCH($A36,'الصفقات'!$M$6:$M$505,0))="","",INDEX('الصفقات'!$F$6:$F$505,MATCH($A36,'الصفقات'!$M$6:$M$505,0))))</f>
        <v/>
      </c>
      <c r="H36" s="6">
        <f>IF($A36="","",INDEX('الصفقات'!$G$6:$G$505,MATCH($A36,'الصفقات'!$M$6:$M$505,0))&amp;"")</f>
        <v/>
      </c>
      <c r="I36" s="6">
        <f>IF($A36="","",INDEX('الصفقات'!$J$6:$J$505,MATCH($A36,'الصفقات'!$M$6:$M$505,0))&amp;"")</f>
        <v/>
      </c>
    </row>
    <row r="37">
      <c r="A37" s="6">
        <f>IF(30&lt;=$B$4+$B$5,30,"")</f>
        <v/>
      </c>
      <c r="B37" s="6">
        <f>IF($A37="","",INDEX('الصفقات'!$A$6:$A$505,MATCH($A37,'الصفقات'!$M$6:$M$505,0))&amp;"")</f>
        <v/>
      </c>
      <c r="C37" s="6">
        <f>IF($A37="","",INDEX('الصفقات'!$C$6:$C$505,MATCH($A37,'الصفقات'!$M$6:$M$505,0))&amp;"")</f>
        <v/>
      </c>
      <c r="D37" s="18">
        <f>IF($A37="","",INDEX('الصفقات'!$D$6:$D$505,MATCH($A37,'الصفقات'!$M$6:$M$505,0)))</f>
        <v/>
      </c>
      <c r="E37" s="21">
        <f>IF($A37="","",INDEX('الصفقات'!$E$6:$E$505,MATCH($A37,'الصفقات'!$M$6:$M$505,0)))</f>
        <v/>
      </c>
      <c r="F37" s="19">
        <f>IF($A37="","",INDEX('الصفقات'!$K$6:$K$505,MATCH($A37,'الصفقات'!$M$6:$M$505,0)))</f>
        <v/>
      </c>
      <c r="G37" s="21">
        <f>IF($A37="","",IF(INDEX('الصفقات'!$F$6:$F$505,MATCH($A37,'الصفقات'!$M$6:$M$505,0))="","",INDEX('الصفقات'!$F$6:$F$505,MATCH($A37,'الصفقات'!$M$6:$M$505,0))))</f>
        <v/>
      </c>
      <c r="H37" s="6">
        <f>IF($A37="","",INDEX('الصفقات'!$G$6:$G$505,MATCH($A37,'الصفقات'!$M$6:$M$505,0))&amp;"")</f>
        <v/>
      </c>
      <c r="I37" s="6">
        <f>IF($A37="","",INDEX('الصفقات'!$J$6:$J$505,MATCH($A37,'الصفقات'!$M$6:$M$505,0))&amp;"")</f>
        <v/>
      </c>
    </row>
    <row r="38">
      <c r="A38" s="6">
        <f>IF(31&lt;=$B$4+$B$5,31,"")</f>
        <v/>
      </c>
      <c r="B38" s="6">
        <f>IF($A38="","",INDEX('الصفقات'!$A$6:$A$505,MATCH($A38,'الصفقات'!$M$6:$M$505,0))&amp;"")</f>
        <v/>
      </c>
      <c r="C38" s="6">
        <f>IF($A38="","",INDEX('الصفقات'!$C$6:$C$505,MATCH($A38,'الصفقات'!$M$6:$M$505,0))&amp;"")</f>
        <v/>
      </c>
      <c r="D38" s="18">
        <f>IF($A38="","",INDEX('الصفقات'!$D$6:$D$505,MATCH($A38,'الصفقات'!$M$6:$M$505,0)))</f>
        <v/>
      </c>
      <c r="E38" s="21">
        <f>IF($A38="","",INDEX('الصفقات'!$E$6:$E$505,MATCH($A38,'الصفقات'!$M$6:$M$505,0)))</f>
        <v/>
      </c>
      <c r="F38" s="19">
        <f>IF($A38="","",INDEX('الصفقات'!$K$6:$K$505,MATCH($A38,'الصفقات'!$M$6:$M$505,0)))</f>
        <v/>
      </c>
      <c r="G38" s="21">
        <f>IF($A38="","",IF(INDEX('الصفقات'!$F$6:$F$505,MATCH($A38,'الصفقات'!$M$6:$M$505,0))="","",INDEX('الصفقات'!$F$6:$F$505,MATCH($A38,'الصفقات'!$M$6:$M$505,0))))</f>
        <v/>
      </c>
      <c r="H38" s="6">
        <f>IF($A38="","",INDEX('الصفقات'!$G$6:$G$505,MATCH($A38,'الصفقات'!$M$6:$M$505,0))&amp;"")</f>
        <v/>
      </c>
      <c r="I38" s="6">
        <f>IF($A38="","",INDEX('الصفقات'!$J$6:$J$505,MATCH($A38,'الصفقات'!$M$6:$M$505,0))&amp;"")</f>
        <v/>
      </c>
    </row>
    <row r="39">
      <c r="A39" s="6">
        <f>IF(32&lt;=$B$4+$B$5,32,"")</f>
        <v/>
      </c>
      <c r="B39" s="6">
        <f>IF($A39="","",INDEX('الصفقات'!$A$6:$A$505,MATCH($A39,'الصفقات'!$M$6:$M$505,0))&amp;"")</f>
        <v/>
      </c>
      <c r="C39" s="6">
        <f>IF($A39="","",INDEX('الصفقات'!$C$6:$C$505,MATCH($A39,'الصفقات'!$M$6:$M$505,0))&amp;"")</f>
        <v/>
      </c>
      <c r="D39" s="18">
        <f>IF($A39="","",INDEX('الصفقات'!$D$6:$D$505,MATCH($A39,'الصفقات'!$M$6:$M$505,0)))</f>
        <v/>
      </c>
      <c r="E39" s="21">
        <f>IF($A39="","",INDEX('الصفقات'!$E$6:$E$505,MATCH($A39,'الصفقات'!$M$6:$M$505,0)))</f>
        <v/>
      </c>
      <c r="F39" s="19">
        <f>IF($A39="","",INDEX('الصفقات'!$K$6:$K$505,MATCH($A39,'الصفقات'!$M$6:$M$505,0)))</f>
        <v/>
      </c>
      <c r="G39" s="21">
        <f>IF($A39="","",IF(INDEX('الصفقات'!$F$6:$F$505,MATCH($A39,'الصفقات'!$M$6:$M$505,0))="","",INDEX('الصفقات'!$F$6:$F$505,MATCH($A39,'الصفقات'!$M$6:$M$505,0))))</f>
        <v/>
      </c>
      <c r="H39" s="6">
        <f>IF($A39="","",INDEX('الصفقات'!$G$6:$G$505,MATCH($A39,'الصفقات'!$M$6:$M$505,0))&amp;"")</f>
        <v/>
      </c>
      <c r="I39" s="6">
        <f>IF($A39="","",INDEX('الصفقات'!$J$6:$J$505,MATCH($A39,'الصفقات'!$M$6:$M$505,0))&amp;"")</f>
        <v/>
      </c>
    </row>
    <row r="40">
      <c r="A40" s="6">
        <f>IF(33&lt;=$B$4+$B$5,33,"")</f>
        <v/>
      </c>
      <c r="B40" s="6">
        <f>IF($A40="","",INDEX('الصفقات'!$A$6:$A$505,MATCH($A40,'الصفقات'!$M$6:$M$505,0))&amp;"")</f>
        <v/>
      </c>
      <c r="C40" s="6">
        <f>IF($A40="","",INDEX('الصفقات'!$C$6:$C$505,MATCH($A40,'الصفقات'!$M$6:$M$505,0))&amp;"")</f>
        <v/>
      </c>
      <c r="D40" s="18">
        <f>IF($A40="","",INDEX('الصفقات'!$D$6:$D$505,MATCH($A40,'الصفقات'!$M$6:$M$505,0)))</f>
        <v/>
      </c>
      <c r="E40" s="21">
        <f>IF($A40="","",INDEX('الصفقات'!$E$6:$E$505,MATCH($A40,'الصفقات'!$M$6:$M$505,0)))</f>
        <v/>
      </c>
      <c r="F40" s="19">
        <f>IF($A40="","",INDEX('الصفقات'!$K$6:$K$505,MATCH($A40,'الصفقات'!$M$6:$M$505,0)))</f>
        <v/>
      </c>
      <c r="G40" s="21">
        <f>IF($A40="","",IF(INDEX('الصفقات'!$F$6:$F$505,MATCH($A40,'الصفقات'!$M$6:$M$505,0))="","",INDEX('الصفقات'!$F$6:$F$505,MATCH($A40,'الصفقات'!$M$6:$M$505,0))))</f>
        <v/>
      </c>
      <c r="H40" s="6">
        <f>IF($A40="","",INDEX('الصفقات'!$G$6:$G$505,MATCH($A40,'الصفقات'!$M$6:$M$505,0))&amp;"")</f>
        <v/>
      </c>
      <c r="I40" s="6">
        <f>IF($A40="","",INDEX('الصفقات'!$J$6:$J$505,MATCH($A40,'الصفقات'!$M$6:$M$505,0))&amp;"")</f>
        <v/>
      </c>
    </row>
    <row r="41">
      <c r="A41" s="6">
        <f>IF(34&lt;=$B$4+$B$5,34,"")</f>
        <v/>
      </c>
      <c r="B41" s="6">
        <f>IF($A41="","",INDEX('الصفقات'!$A$6:$A$505,MATCH($A41,'الصفقات'!$M$6:$M$505,0))&amp;"")</f>
        <v/>
      </c>
      <c r="C41" s="6">
        <f>IF($A41="","",INDEX('الصفقات'!$C$6:$C$505,MATCH($A41,'الصفقات'!$M$6:$M$505,0))&amp;"")</f>
        <v/>
      </c>
      <c r="D41" s="18">
        <f>IF($A41="","",INDEX('الصفقات'!$D$6:$D$505,MATCH($A41,'الصفقات'!$M$6:$M$505,0)))</f>
        <v/>
      </c>
      <c r="E41" s="21">
        <f>IF($A41="","",INDEX('الصفقات'!$E$6:$E$505,MATCH($A41,'الصفقات'!$M$6:$M$505,0)))</f>
        <v/>
      </c>
      <c r="F41" s="19">
        <f>IF($A41="","",INDEX('الصفقات'!$K$6:$K$505,MATCH($A41,'الصفقات'!$M$6:$M$505,0)))</f>
        <v/>
      </c>
      <c r="G41" s="21">
        <f>IF($A41="","",IF(INDEX('الصفقات'!$F$6:$F$505,MATCH($A41,'الصفقات'!$M$6:$M$505,0))="","",INDEX('الصفقات'!$F$6:$F$505,MATCH($A41,'الصفقات'!$M$6:$M$505,0))))</f>
        <v/>
      </c>
      <c r="H41" s="6">
        <f>IF($A41="","",INDEX('الصفقات'!$G$6:$G$505,MATCH($A41,'الصفقات'!$M$6:$M$505,0))&amp;"")</f>
        <v/>
      </c>
      <c r="I41" s="6">
        <f>IF($A41="","",INDEX('الصفقات'!$J$6:$J$505,MATCH($A41,'الصفقات'!$M$6:$M$505,0))&amp;"")</f>
        <v/>
      </c>
    </row>
    <row r="42">
      <c r="A42" s="6">
        <f>IF(35&lt;=$B$4+$B$5,35,"")</f>
        <v/>
      </c>
      <c r="B42" s="6">
        <f>IF($A42="","",INDEX('الصفقات'!$A$6:$A$505,MATCH($A42,'الصفقات'!$M$6:$M$505,0))&amp;"")</f>
        <v/>
      </c>
      <c r="C42" s="6">
        <f>IF($A42="","",INDEX('الصفقات'!$C$6:$C$505,MATCH($A42,'الصفقات'!$M$6:$M$505,0))&amp;"")</f>
        <v/>
      </c>
      <c r="D42" s="18">
        <f>IF($A42="","",INDEX('الصفقات'!$D$6:$D$505,MATCH($A42,'الصفقات'!$M$6:$M$505,0)))</f>
        <v/>
      </c>
      <c r="E42" s="21">
        <f>IF($A42="","",INDEX('الصفقات'!$E$6:$E$505,MATCH($A42,'الصفقات'!$M$6:$M$505,0)))</f>
        <v/>
      </c>
      <c r="F42" s="19">
        <f>IF($A42="","",INDEX('الصفقات'!$K$6:$K$505,MATCH($A42,'الصفقات'!$M$6:$M$505,0)))</f>
        <v/>
      </c>
      <c r="G42" s="21">
        <f>IF($A42="","",IF(INDEX('الصفقات'!$F$6:$F$505,MATCH($A42,'الصفقات'!$M$6:$M$505,0))="","",INDEX('الصفقات'!$F$6:$F$505,MATCH($A42,'الصفقات'!$M$6:$M$505,0))))</f>
        <v/>
      </c>
      <c r="H42" s="6">
        <f>IF($A42="","",INDEX('الصفقات'!$G$6:$G$505,MATCH($A42,'الصفقات'!$M$6:$M$505,0))&amp;"")</f>
        <v/>
      </c>
      <c r="I42" s="6">
        <f>IF($A42="","",INDEX('الصفقات'!$J$6:$J$505,MATCH($A42,'الصفقات'!$M$6:$M$505,0))&amp;"")</f>
        <v/>
      </c>
    </row>
    <row r="43">
      <c r="A43" s="6">
        <f>IF(36&lt;=$B$4+$B$5,36,"")</f>
        <v/>
      </c>
      <c r="B43" s="6">
        <f>IF($A43="","",INDEX('الصفقات'!$A$6:$A$505,MATCH($A43,'الصفقات'!$M$6:$M$505,0))&amp;"")</f>
        <v/>
      </c>
      <c r="C43" s="6">
        <f>IF($A43="","",INDEX('الصفقات'!$C$6:$C$505,MATCH($A43,'الصفقات'!$M$6:$M$505,0))&amp;"")</f>
        <v/>
      </c>
      <c r="D43" s="18">
        <f>IF($A43="","",INDEX('الصفقات'!$D$6:$D$505,MATCH($A43,'الصفقات'!$M$6:$M$505,0)))</f>
        <v/>
      </c>
      <c r="E43" s="21">
        <f>IF($A43="","",INDEX('الصفقات'!$E$6:$E$505,MATCH($A43,'الصفقات'!$M$6:$M$505,0)))</f>
        <v/>
      </c>
      <c r="F43" s="19">
        <f>IF($A43="","",INDEX('الصفقات'!$K$6:$K$505,MATCH($A43,'الصفقات'!$M$6:$M$505,0)))</f>
        <v/>
      </c>
      <c r="G43" s="21">
        <f>IF($A43="","",IF(INDEX('الصفقات'!$F$6:$F$505,MATCH($A43,'الصفقات'!$M$6:$M$505,0))="","",INDEX('الصفقات'!$F$6:$F$505,MATCH($A43,'الصفقات'!$M$6:$M$505,0))))</f>
        <v/>
      </c>
      <c r="H43" s="6">
        <f>IF($A43="","",INDEX('الصفقات'!$G$6:$G$505,MATCH($A43,'الصفقات'!$M$6:$M$505,0))&amp;"")</f>
        <v/>
      </c>
      <c r="I43" s="6">
        <f>IF($A43="","",INDEX('الصفقات'!$J$6:$J$505,MATCH($A43,'الصفقات'!$M$6:$M$505,0))&amp;"")</f>
        <v/>
      </c>
    </row>
    <row r="44">
      <c r="A44" s="6">
        <f>IF(37&lt;=$B$4+$B$5,37,"")</f>
        <v/>
      </c>
      <c r="B44" s="6">
        <f>IF($A44="","",INDEX('الصفقات'!$A$6:$A$505,MATCH($A44,'الصفقات'!$M$6:$M$505,0))&amp;"")</f>
        <v/>
      </c>
      <c r="C44" s="6">
        <f>IF($A44="","",INDEX('الصفقات'!$C$6:$C$505,MATCH($A44,'الصفقات'!$M$6:$M$505,0))&amp;"")</f>
        <v/>
      </c>
      <c r="D44" s="18">
        <f>IF($A44="","",INDEX('الصفقات'!$D$6:$D$505,MATCH($A44,'الصفقات'!$M$6:$M$505,0)))</f>
        <v/>
      </c>
      <c r="E44" s="21">
        <f>IF($A44="","",INDEX('الصفقات'!$E$6:$E$505,MATCH($A44,'الصفقات'!$M$6:$M$505,0)))</f>
        <v/>
      </c>
      <c r="F44" s="19">
        <f>IF($A44="","",INDEX('الصفقات'!$K$6:$K$505,MATCH($A44,'الصفقات'!$M$6:$M$505,0)))</f>
        <v/>
      </c>
      <c r="G44" s="21">
        <f>IF($A44="","",IF(INDEX('الصفقات'!$F$6:$F$505,MATCH($A44,'الصفقات'!$M$6:$M$505,0))="","",INDEX('الصفقات'!$F$6:$F$505,MATCH($A44,'الصفقات'!$M$6:$M$505,0))))</f>
        <v/>
      </c>
      <c r="H44" s="6">
        <f>IF($A44="","",INDEX('الصفقات'!$G$6:$G$505,MATCH($A44,'الصفقات'!$M$6:$M$505,0))&amp;"")</f>
        <v/>
      </c>
      <c r="I44" s="6">
        <f>IF($A44="","",INDEX('الصفقات'!$J$6:$J$505,MATCH($A44,'الصفقات'!$M$6:$M$505,0))&amp;"")</f>
        <v/>
      </c>
    </row>
    <row r="45">
      <c r="A45" s="6">
        <f>IF(38&lt;=$B$4+$B$5,38,"")</f>
        <v/>
      </c>
      <c r="B45" s="6">
        <f>IF($A45="","",INDEX('الصفقات'!$A$6:$A$505,MATCH($A45,'الصفقات'!$M$6:$M$505,0))&amp;"")</f>
        <v/>
      </c>
      <c r="C45" s="6">
        <f>IF($A45="","",INDEX('الصفقات'!$C$6:$C$505,MATCH($A45,'الصفقات'!$M$6:$M$505,0))&amp;"")</f>
        <v/>
      </c>
      <c r="D45" s="18">
        <f>IF($A45="","",INDEX('الصفقات'!$D$6:$D$505,MATCH($A45,'الصفقات'!$M$6:$M$505,0)))</f>
        <v/>
      </c>
      <c r="E45" s="21">
        <f>IF($A45="","",INDEX('الصفقات'!$E$6:$E$505,MATCH($A45,'الصفقات'!$M$6:$M$505,0)))</f>
        <v/>
      </c>
      <c r="F45" s="19">
        <f>IF($A45="","",INDEX('الصفقات'!$K$6:$K$505,MATCH($A45,'الصفقات'!$M$6:$M$505,0)))</f>
        <v/>
      </c>
      <c r="G45" s="21">
        <f>IF($A45="","",IF(INDEX('الصفقات'!$F$6:$F$505,MATCH($A45,'الصفقات'!$M$6:$M$505,0))="","",INDEX('الصفقات'!$F$6:$F$505,MATCH($A45,'الصفقات'!$M$6:$M$505,0))))</f>
        <v/>
      </c>
      <c r="H45" s="6">
        <f>IF($A45="","",INDEX('الصفقات'!$G$6:$G$505,MATCH($A45,'الصفقات'!$M$6:$M$505,0))&amp;"")</f>
        <v/>
      </c>
      <c r="I45" s="6">
        <f>IF($A45="","",INDEX('الصفقات'!$J$6:$J$505,MATCH($A45,'الصفقات'!$M$6:$M$505,0))&amp;"")</f>
        <v/>
      </c>
    </row>
    <row r="46">
      <c r="A46" s="6">
        <f>IF(39&lt;=$B$4+$B$5,39,"")</f>
        <v/>
      </c>
      <c r="B46" s="6">
        <f>IF($A46="","",INDEX('الصفقات'!$A$6:$A$505,MATCH($A46,'الصفقات'!$M$6:$M$505,0))&amp;"")</f>
        <v/>
      </c>
      <c r="C46" s="6">
        <f>IF($A46="","",INDEX('الصفقات'!$C$6:$C$505,MATCH($A46,'الصفقات'!$M$6:$M$505,0))&amp;"")</f>
        <v/>
      </c>
      <c r="D46" s="18">
        <f>IF($A46="","",INDEX('الصفقات'!$D$6:$D$505,MATCH($A46,'الصفقات'!$M$6:$M$505,0)))</f>
        <v/>
      </c>
      <c r="E46" s="21">
        <f>IF($A46="","",INDEX('الصفقات'!$E$6:$E$505,MATCH($A46,'الصفقات'!$M$6:$M$505,0)))</f>
        <v/>
      </c>
      <c r="F46" s="19">
        <f>IF($A46="","",INDEX('الصفقات'!$K$6:$K$505,MATCH($A46,'الصفقات'!$M$6:$M$505,0)))</f>
        <v/>
      </c>
      <c r="G46" s="21">
        <f>IF($A46="","",IF(INDEX('الصفقات'!$F$6:$F$505,MATCH($A46,'الصفقات'!$M$6:$M$505,0))="","",INDEX('الصفقات'!$F$6:$F$505,MATCH($A46,'الصفقات'!$M$6:$M$505,0))))</f>
        <v/>
      </c>
      <c r="H46" s="6">
        <f>IF($A46="","",INDEX('الصفقات'!$G$6:$G$505,MATCH($A46,'الصفقات'!$M$6:$M$505,0))&amp;"")</f>
        <v/>
      </c>
      <c r="I46" s="6">
        <f>IF($A46="","",INDEX('الصفقات'!$J$6:$J$505,MATCH($A46,'الصفقات'!$M$6:$M$505,0))&amp;"")</f>
        <v/>
      </c>
    </row>
    <row r="47">
      <c r="A47" s="6">
        <f>IF(40&lt;=$B$4+$B$5,40,"")</f>
        <v/>
      </c>
      <c r="B47" s="6">
        <f>IF($A47="","",INDEX('الصفقات'!$A$6:$A$505,MATCH($A47,'الصفقات'!$M$6:$M$505,0))&amp;"")</f>
        <v/>
      </c>
      <c r="C47" s="6">
        <f>IF($A47="","",INDEX('الصفقات'!$C$6:$C$505,MATCH($A47,'الصفقات'!$M$6:$M$505,0))&amp;"")</f>
        <v/>
      </c>
      <c r="D47" s="18">
        <f>IF($A47="","",INDEX('الصفقات'!$D$6:$D$505,MATCH($A47,'الصفقات'!$M$6:$M$505,0)))</f>
        <v/>
      </c>
      <c r="E47" s="21">
        <f>IF($A47="","",INDEX('الصفقات'!$E$6:$E$505,MATCH($A47,'الصفقات'!$M$6:$M$505,0)))</f>
        <v/>
      </c>
      <c r="F47" s="19">
        <f>IF($A47="","",INDEX('الصفقات'!$K$6:$K$505,MATCH($A47,'الصفقات'!$M$6:$M$505,0)))</f>
        <v/>
      </c>
      <c r="G47" s="21">
        <f>IF($A47="","",IF(INDEX('الصفقات'!$F$6:$F$505,MATCH($A47,'الصفقات'!$M$6:$M$505,0))="","",INDEX('الصفقات'!$F$6:$F$505,MATCH($A47,'الصفقات'!$M$6:$M$505,0))))</f>
        <v/>
      </c>
      <c r="H47" s="6">
        <f>IF($A47="","",INDEX('الصفقات'!$G$6:$G$505,MATCH($A47,'الصفقات'!$M$6:$M$505,0))&amp;"")</f>
        <v/>
      </c>
      <c r="I47" s="6">
        <f>IF($A47="","",INDEX('الصفقات'!$J$6:$J$505,MATCH($A47,'الصفقات'!$M$6:$M$505,0))&amp;"")</f>
        <v/>
      </c>
    </row>
    <row r="48">
      <c r="A48" s="6">
        <f>IF(41&lt;=$B$4+$B$5,41,"")</f>
        <v/>
      </c>
      <c r="B48" s="6">
        <f>IF($A48="","",INDEX('الصفقات'!$A$6:$A$505,MATCH($A48,'الصفقات'!$M$6:$M$505,0))&amp;"")</f>
        <v/>
      </c>
      <c r="C48" s="6">
        <f>IF($A48="","",INDEX('الصفقات'!$C$6:$C$505,MATCH($A48,'الصفقات'!$M$6:$M$505,0))&amp;"")</f>
        <v/>
      </c>
      <c r="D48" s="18">
        <f>IF($A48="","",INDEX('الصفقات'!$D$6:$D$505,MATCH($A48,'الصفقات'!$M$6:$M$505,0)))</f>
        <v/>
      </c>
      <c r="E48" s="21">
        <f>IF($A48="","",INDEX('الصفقات'!$E$6:$E$505,MATCH($A48,'الصفقات'!$M$6:$M$505,0)))</f>
        <v/>
      </c>
      <c r="F48" s="19">
        <f>IF($A48="","",INDEX('الصفقات'!$K$6:$K$505,MATCH($A48,'الصفقات'!$M$6:$M$505,0)))</f>
        <v/>
      </c>
      <c r="G48" s="21">
        <f>IF($A48="","",IF(INDEX('الصفقات'!$F$6:$F$505,MATCH($A48,'الصفقات'!$M$6:$M$505,0))="","",INDEX('الصفقات'!$F$6:$F$505,MATCH($A48,'الصفقات'!$M$6:$M$505,0))))</f>
        <v/>
      </c>
      <c r="H48" s="6">
        <f>IF($A48="","",INDEX('الصفقات'!$G$6:$G$505,MATCH($A48,'الصفقات'!$M$6:$M$505,0))&amp;"")</f>
        <v/>
      </c>
      <c r="I48" s="6">
        <f>IF($A48="","",INDEX('الصفقات'!$J$6:$J$505,MATCH($A48,'الصفقات'!$M$6:$M$505,0))&amp;"")</f>
        <v/>
      </c>
    </row>
    <row r="49">
      <c r="A49" s="6">
        <f>IF(42&lt;=$B$4+$B$5,42,"")</f>
        <v/>
      </c>
      <c r="B49" s="6">
        <f>IF($A49="","",INDEX('الصفقات'!$A$6:$A$505,MATCH($A49,'الصفقات'!$M$6:$M$505,0))&amp;"")</f>
        <v/>
      </c>
      <c r="C49" s="6">
        <f>IF($A49="","",INDEX('الصفقات'!$C$6:$C$505,MATCH($A49,'الصفقات'!$M$6:$M$505,0))&amp;"")</f>
        <v/>
      </c>
      <c r="D49" s="18">
        <f>IF($A49="","",INDEX('الصفقات'!$D$6:$D$505,MATCH($A49,'الصفقات'!$M$6:$M$505,0)))</f>
        <v/>
      </c>
      <c r="E49" s="21">
        <f>IF($A49="","",INDEX('الصفقات'!$E$6:$E$505,MATCH($A49,'الصفقات'!$M$6:$M$505,0)))</f>
        <v/>
      </c>
      <c r="F49" s="19">
        <f>IF($A49="","",INDEX('الصفقات'!$K$6:$K$505,MATCH($A49,'الصفقات'!$M$6:$M$505,0)))</f>
        <v/>
      </c>
      <c r="G49" s="21">
        <f>IF($A49="","",IF(INDEX('الصفقات'!$F$6:$F$505,MATCH($A49,'الصفقات'!$M$6:$M$505,0))="","",INDEX('الصفقات'!$F$6:$F$505,MATCH($A49,'الصفقات'!$M$6:$M$505,0))))</f>
        <v/>
      </c>
      <c r="H49" s="6">
        <f>IF($A49="","",INDEX('الصفقات'!$G$6:$G$505,MATCH($A49,'الصفقات'!$M$6:$M$505,0))&amp;"")</f>
        <v/>
      </c>
      <c r="I49" s="6">
        <f>IF($A49="","",INDEX('الصفقات'!$J$6:$J$505,MATCH($A49,'الصفقات'!$M$6:$M$505,0))&amp;"")</f>
        <v/>
      </c>
    </row>
    <row r="50">
      <c r="A50" s="6">
        <f>IF(43&lt;=$B$4+$B$5,43,"")</f>
        <v/>
      </c>
      <c r="B50" s="6">
        <f>IF($A50="","",INDEX('الصفقات'!$A$6:$A$505,MATCH($A50,'الصفقات'!$M$6:$M$505,0))&amp;"")</f>
        <v/>
      </c>
      <c r="C50" s="6">
        <f>IF($A50="","",INDEX('الصفقات'!$C$6:$C$505,MATCH($A50,'الصفقات'!$M$6:$M$505,0))&amp;"")</f>
        <v/>
      </c>
      <c r="D50" s="18">
        <f>IF($A50="","",INDEX('الصفقات'!$D$6:$D$505,MATCH($A50,'الصفقات'!$M$6:$M$505,0)))</f>
        <v/>
      </c>
      <c r="E50" s="21">
        <f>IF($A50="","",INDEX('الصفقات'!$E$6:$E$505,MATCH($A50,'الصفقات'!$M$6:$M$505,0)))</f>
        <v/>
      </c>
      <c r="F50" s="19">
        <f>IF($A50="","",INDEX('الصفقات'!$K$6:$K$505,MATCH($A50,'الصفقات'!$M$6:$M$505,0)))</f>
        <v/>
      </c>
      <c r="G50" s="21">
        <f>IF($A50="","",IF(INDEX('الصفقات'!$F$6:$F$505,MATCH($A50,'الصفقات'!$M$6:$M$505,0))="","",INDEX('الصفقات'!$F$6:$F$505,MATCH($A50,'الصفقات'!$M$6:$M$505,0))))</f>
        <v/>
      </c>
      <c r="H50" s="6">
        <f>IF($A50="","",INDEX('الصفقات'!$G$6:$G$505,MATCH($A50,'الصفقات'!$M$6:$M$505,0))&amp;"")</f>
        <v/>
      </c>
      <c r="I50" s="6">
        <f>IF($A50="","",INDEX('الصفقات'!$J$6:$J$505,MATCH($A50,'الصفقات'!$M$6:$M$505,0))&amp;"")</f>
        <v/>
      </c>
    </row>
    <row r="51">
      <c r="A51" s="6">
        <f>IF(44&lt;=$B$4+$B$5,44,"")</f>
        <v/>
      </c>
      <c r="B51" s="6">
        <f>IF($A51="","",INDEX('الصفقات'!$A$6:$A$505,MATCH($A51,'الصفقات'!$M$6:$M$505,0))&amp;"")</f>
        <v/>
      </c>
      <c r="C51" s="6">
        <f>IF($A51="","",INDEX('الصفقات'!$C$6:$C$505,MATCH($A51,'الصفقات'!$M$6:$M$505,0))&amp;"")</f>
        <v/>
      </c>
      <c r="D51" s="18">
        <f>IF($A51="","",INDEX('الصفقات'!$D$6:$D$505,MATCH($A51,'الصفقات'!$M$6:$M$505,0)))</f>
        <v/>
      </c>
      <c r="E51" s="21">
        <f>IF($A51="","",INDEX('الصفقات'!$E$6:$E$505,MATCH($A51,'الصفقات'!$M$6:$M$505,0)))</f>
        <v/>
      </c>
      <c r="F51" s="19">
        <f>IF($A51="","",INDEX('الصفقات'!$K$6:$K$505,MATCH($A51,'الصفقات'!$M$6:$M$505,0)))</f>
        <v/>
      </c>
      <c r="G51" s="21">
        <f>IF($A51="","",IF(INDEX('الصفقات'!$F$6:$F$505,MATCH($A51,'الصفقات'!$M$6:$M$505,0))="","",INDEX('الصفقات'!$F$6:$F$505,MATCH($A51,'الصفقات'!$M$6:$M$505,0))))</f>
        <v/>
      </c>
      <c r="H51" s="6">
        <f>IF($A51="","",INDEX('الصفقات'!$G$6:$G$505,MATCH($A51,'الصفقات'!$M$6:$M$505,0))&amp;"")</f>
        <v/>
      </c>
      <c r="I51" s="6">
        <f>IF($A51="","",INDEX('الصفقات'!$J$6:$J$505,MATCH($A51,'الصفقات'!$M$6:$M$505,0))&amp;"")</f>
        <v/>
      </c>
    </row>
    <row r="52">
      <c r="A52" s="6">
        <f>IF(45&lt;=$B$4+$B$5,45,"")</f>
        <v/>
      </c>
      <c r="B52" s="6">
        <f>IF($A52="","",INDEX('الصفقات'!$A$6:$A$505,MATCH($A52,'الصفقات'!$M$6:$M$505,0))&amp;"")</f>
        <v/>
      </c>
      <c r="C52" s="6">
        <f>IF($A52="","",INDEX('الصفقات'!$C$6:$C$505,MATCH($A52,'الصفقات'!$M$6:$M$505,0))&amp;"")</f>
        <v/>
      </c>
      <c r="D52" s="18">
        <f>IF($A52="","",INDEX('الصفقات'!$D$6:$D$505,MATCH($A52,'الصفقات'!$M$6:$M$505,0)))</f>
        <v/>
      </c>
      <c r="E52" s="21">
        <f>IF($A52="","",INDEX('الصفقات'!$E$6:$E$505,MATCH($A52,'الصفقات'!$M$6:$M$505,0)))</f>
        <v/>
      </c>
      <c r="F52" s="19">
        <f>IF($A52="","",INDEX('الصفقات'!$K$6:$K$505,MATCH($A52,'الصفقات'!$M$6:$M$505,0)))</f>
        <v/>
      </c>
      <c r="G52" s="21">
        <f>IF($A52="","",IF(INDEX('الصفقات'!$F$6:$F$505,MATCH($A52,'الصفقات'!$M$6:$M$505,0))="","",INDEX('الصفقات'!$F$6:$F$505,MATCH($A52,'الصفقات'!$M$6:$M$505,0))))</f>
        <v/>
      </c>
      <c r="H52" s="6">
        <f>IF($A52="","",INDEX('الصفقات'!$G$6:$G$505,MATCH($A52,'الصفقات'!$M$6:$M$505,0))&amp;"")</f>
        <v/>
      </c>
      <c r="I52" s="6">
        <f>IF($A52="","",INDEX('الصفقات'!$J$6:$J$505,MATCH($A52,'الصفقات'!$M$6:$M$505,0))&amp;"")</f>
        <v/>
      </c>
    </row>
    <row r="53">
      <c r="A53" s="6">
        <f>IF(46&lt;=$B$4+$B$5,46,"")</f>
        <v/>
      </c>
      <c r="B53" s="6">
        <f>IF($A53="","",INDEX('الصفقات'!$A$6:$A$505,MATCH($A53,'الصفقات'!$M$6:$M$505,0))&amp;"")</f>
        <v/>
      </c>
      <c r="C53" s="6">
        <f>IF($A53="","",INDEX('الصفقات'!$C$6:$C$505,MATCH($A53,'الصفقات'!$M$6:$M$505,0))&amp;"")</f>
        <v/>
      </c>
      <c r="D53" s="18">
        <f>IF($A53="","",INDEX('الصفقات'!$D$6:$D$505,MATCH($A53,'الصفقات'!$M$6:$M$505,0)))</f>
        <v/>
      </c>
      <c r="E53" s="21">
        <f>IF($A53="","",INDEX('الصفقات'!$E$6:$E$505,MATCH($A53,'الصفقات'!$M$6:$M$505,0)))</f>
        <v/>
      </c>
      <c r="F53" s="19">
        <f>IF($A53="","",INDEX('الصفقات'!$K$6:$K$505,MATCH($A53,'الصفقات'!$M$6:$M$505,0)))</f>
        <v/>
      </c>
      <c r="G53" s="21">
        <f>IF($A53="","",IF(INDEX('الصفقات'!$F$6:$F$505,MATCH($A53,'الصفقات'!$M$6:$M$505,0))="","",INDEX('الصفقات'!$F$6:$F$505,MATCH($A53,'الصفقات'!$M$6:$M$505,0))))</f>
        <v/>
      </c>
      <c r="H53" s="6">
        <f>IF($A53="","",INDEX('الصفقات'!$G$6:$G$505,MATCH($A53,'الصفقات'!$M$6:$M$505,0))&amp;"")</f>
        <v/>
      </c>
      <c r="I53" s="6">
        <f>IF($A53="","",INDEX('الصفقات'!$J$6:$J$505,MATCH($A53,'الصفقات'!$M$6:$M$505,0))&amp;"")</f>
        <v/>
      </c>
    </row>
    <row r="54">
      <c r="A54" s="6">
        <f>IF(47&lt;=$B$4+$B$5,47,"")</f>
        <v/>
      </c>
      <c r="B54" s="6">
        <f>IF($A54="","",INDEX('الصفقات'!$A$6:$A$505,MATCH($A54,'الصفقات'!$M$6:$M$505,0))&amp;"")</f>
        <v/>
      </c>
      <c r="C54" s="6">
        <f>IF($A54="","",INDEX('الصفقات'!$C$6:$C$505,MATCH($A54,'الصفقات'!$M$6:$M$505,0))&amp;"")</f>
        <v/>
      </c>
      <c r="D54" s="18">
        <f>IF($A54="","",INDEX('الصفقات'!$D$6:$D$505,MATCH($A54,'الصفقات'!$M$6:$M$505,0)))</f>
        <v/>
      </c>
      <c r="E54" s="21">
        <f>IF($A54="","",INDEX('الصفقات'!$E$6:$E$505,MATCH($A54,'الصفقات'!$M$6:$M$505,0)))</f>
        <v/>
      </c>
      <c r="F54" s="19">
        <f>IF($A54="","",INDEX('الصفقات'!$K$6:$K$505,MATCH($A54,'الصفقات'!$M$6:$M$505,0)))</f>
        <v/>
      </c>
      <c r="G54" s="21">
        <f>IF($A54="","",IF(INDEX('الصفقات'!$F$6:$F$505,MATCH($A54,'الصفقات'!$M$6:$M$505,0))="","",INDEX('الصفقات'!$F$6:$F$505,MATCH($A54,'الصفقات'!$M$6:$M$505,0))))</f>
        <v/>
      </c>
      <c r="H54" s="6">
        <f>IF($A54="","",INDEX('الصفقات'!$G$6:$G$505,MATCH($A54,'الصفقات'!$M$6:$M$505,0))&amp;"")</f>
        <v/>
      </c>
      <c r="I54" s="6">
        <f>IF($A54="","",INDEX('الصفقات'!$J$6:$J$505,MATCH($A54,'الصفقات'!$M$6:$M$505,0))&amp;"")</f>
        <v/>
      </c>
    </row>
    <row r="55">
      <c r="A55" s="6">
        <f>IF(48&lt;=$B$4+$B$5,48,"")</f>
        <v/>
      </c>
      <c r="B55" s="6">
        <f>IF($A55="","",INDEX('الصفقات'!$A$6:$A$505,MATCH($A55,'الصفقات'!$M$6:$M$505,0))&amp;"")</f>
        <v/>
      </c>
      <c r="C55" s="6">
        <f>IF($A55="","",INDEX('الصفقات'!$C$6:$C$505,MATCH($A55,'الصفقات'!$M$6:$M$505,0))&amp;"")</f>
        <v/>
      </c>
      <c r="D55" s="18">
        <f>IF($A55="","",INDEX('الصفقات'!$D$6:$D$505,MATCH($A55,'الصفقات'!$M$6:$M$505,0)))</f>
        <v/>
      </c>
      <c r="E55" s="21">
        <f>IF($A55="","",INDEX('الصفقات'!$E$6:$E$505,MATCH($A55,'الصفقات'!$M$6:$M$505,0)))</f>
        <v/>
      </c>
      <c r="F55" s="19">
        <f>IF($A55="","",INDEX('الصفقات'!$K$6:$K$505,MATCH($A55,'الصفقات'!$M$6:$M$505,0)))</f>
        <v/>
      </c>
      <c r="G55" s="21">
        <f>IF($A55="","",IF(INDEX('الصفقات'!$F$6:$F$505,MATCH($A55,'الصفقات'!$M$6:$M$505,0))="","",INDEX('الصفقات'!$F$6:$F$505,MATCH($A55,'الصفقات'!$M$6:$M$505,0))))</f>
        <v/>
      </c>
      <c r="H55" s="6">
        <f>IF($A55="","",INDEX('الصفقات'!$G$6:$G$505,MATCH($A55,'الصفقات'!$M$6:$M$505,0))&amp;"")</f>
        <v/>
      </c>
      <c r="I55" s="6">
        <f>IF($A55="","",INDEX('الصفقات'!$J$6:$J$505,MATCH($A55,'الصفقات'!$M$6:$M$505,0))&amp;"")</f>
        <v/>
      </c>
    </row>
    <row r="56">
      <c r="A56" s="6">
        <f>IF(49&lt;=$B$4+$B$5,49,"")</f>
        <v/>
      </c>
      <c r="B56" s="6">
        <f>IF($A56="","",INDEX('الصفقات'!$A$6:$A$505,MATCH($A56,'الصفقات'!$M$6:$M$505,0))&amp;"")</f>
        <v/>
      </c>
      <c r="C56" s="6">
        <f>IF($A56="","",INDEX('الصفقات'!$C$6:$C$505,MATCH($A56,'الصفقات'!$M$6:$M$505,0))&amp;"")</f>
        <v/>
      </c>
      <c r="D56" s="18">
        <f>IF($A56="","",INDEX('الصفقات'!$D$6:$D$505,MATCH($A56,'الصفقات'!$M$6:$M$505,0)))</f>
        <v/>
      </c>
      <c r="E56" s="21">
        <f>IF($A56="","",INDEX('الصفقات'!$E$6:$E$505,MATCH($A56,'الصفقات'!$M$6:$M$505,0)))</f>
        <v/>
      </c>
      <c r="F56" s="19">
        <f>IF($A56="","",INDEX('الصفقات'!$K$6:$K$505,MATCH($A56,'الصفقات'!$M$6:$M$505,0)))</f>
        <v/>
      </c>
      <c r="G56" s="21">
        <f>IF($A56="","",IF(INDEX('الصفقات'!$F$6:$F$505,MATCH($A56,'الصفقات'!$M$6:$M$505,0))="","",INDEX('الصفقات'!$F$6:$F$505,MATCH($A56,'الصفقات'!$M$6:$M$505,0))))</f>
        <v/>
      </c>
      <c r="H56" s="6">
        <f>IF($A56="","",INDEX('الصفقات'!$G$6:$G$505,MATCH($A56,'الصفقات'!$M$6:$M$505,0))&amp;"")</f>
        <v/>
      </c>
      <c r="I56" s="6">
        <f>IF($A56="","",INDEX('الصفقات'!$J$6:$J$505,MATCH($A56,'الصفقات'!$M$6:$M$505,0))&amp;"")</f>
        <v/>
      </c>
    </row>
    <row r="57">
      <c r="A57" s="6">
        <f>IF(50&lt;=$B$4+$B$5,50,"")</f>
        <v/>
      </c>
      <c r="B57" s="6">
        <f>IF($A57="","",INDEX('الصفقات'!$A$6:$A$505,MATCH($A57,'الصفقات'!$M$6:$M$505,0))&amp;"")</f>
        <v/>
      </c>
      <c r="C57" s="6">
        <f>IF($A57="","",INDEX('الصفقات'!$C$6:$C$505,MATCH($A57,'الصفقات'!$M$6:$M$505,0))&amp;"")</f>
        <v/>
      </c>
      <c r="D57" s="18">
        <f>IF($A57="","",INDEX('الصفقات'!$D$6:$D$505,MATCH($A57,'الصفقات'!$M$6:$M$505,0)))</f>
        <v/>
      </c>
      <c r="E57" s="21">
        <f>IF($A57="","",INDEX('الصفقات'!$E$6:$E$505,MATCH($A57,'الصفقات'!$M$6:$M$505,0)))</f>
        <v/>
      </c>
      <c r="F57" s="19">
        <f>IF($A57="","",INDEX('الصفقات'!$K$6:$K$505,MATCH($A57,'الصفقات'!$M$6:$M$505,0)))</f>
        <v/>
      </c>
      <c r="G57" s="21">
        <f>IF($A57="","",IF(INDEX('الصفقات'!$F$6:$F$505,MATCH($A57,'الصفقات'!$M$6:$M$505,0))="","",INDEX('الصفقات'!$F$6:$F$505,MATCH($A57,'الصفقات'!$M$6:$M$505,0))))</f>
        <v/>
      </c>
      <c r="H57" s="6">
        <f>IF($A57="","",INDEX('الصفقات'!$G$6:$G$505,MATCH($A57,'الصفقات'!$M$6:$M$505,0))&amp;"")</f>
        <v/>
      </c>
      <c r="I57" s="6">
        <f>IF($A57="","",INDEX('الصفقات'!$J$6:$J$505,MATCH($A57,'الصفقات'!$M$6:$M$505,0))&amp;"")</f>
        <v/>
      </c>
    </row>
  </sheetData>
  <mergeCells count="2">
    <mergeCell ref="A1:I1"/>
    <mergeCell ref="A2:I2"/>
  </mergeCells>
  <conditionalFormatting sqref="A8:I57">
    <cfRule type="expression" priority="1" dxfId="0">
      <formula>$I8="متأخرة"</formula>
    </cfRule>
    <cfRule type="expression" priority="2" dxfId="1">
      <formula>$I8="اليوم"</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F43"/>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16" customWidth="1" min="2" max="2"/>
    <col width="18" customWidth="1" min="3" max="3"/>
    <col width="16" customWidth="1" min="4" max="4"/>
    <col width="18" customWidth="1" min="5" max="5"/>
    <col width="16" customWidth="1" min="6" max="6"/>
  </cols>
  <sheetData>
    <row r="1" ht="26" customHeight="1">
      <c r="A1" s="10" t="inlineStr">
        <is>
          <t>شيت متابعة العملاء المحتملين والصفقات · قالب مجاني من Softwiro</t>
        </is>
      </c>
    </row>
    <row r="2">
      <c r="A2" s="11" t="inlineStr">
        <is>
          <t>عايز برنامج متابعة عملاء يدخل عليه كل مندوب ويصله تنبيه بمتابعاته؟ Softwiro تبنيه لك على طريقتك ← اضغط هنا</t>
        </is>
      </c>
    </row>
    <row r="4">
      <c r="A4" s="22" t="inlineStr">
        <is>
          <t>نظرة عامة</t>
        </is>
      </c>
    </row>
    <row r="5">
      <c r="A5" s="12" t="inlineStr">
        <is>
          <t>إجمالي الصفقات</t>
        </is>
      </c>
      <c r="B5" s="19">
        <f>COUNTIF('الصفقات'!$A$6:$A$505,"?*")</f>
        <v/>
      </c>
    </row>
    <row r="6">
      <c r="A6" s="12" t="inlineStr">
        <is>
          <t>صفقات مفتوحة</t>
        </is>
      </c>
      <c r="B6" s="19">
        <f>B5-B7-B8</f>
        <v/>
      </c>
    </row>
    <row r="7">
      <c r="A7" s="12" t="inlineStr">
        <is>
          <t>صفقات تمت</t>
        </is>
      </c>
      <c r="B7" s="19">
        <f>COUNTIF('الصفقات'!$C$6:$C$505,"تم")</f>
        <v/>
      </c>
    </row>
    <row r="8">
      <c r="A8" s="12" t="inlineStr">
        <is>
          <t>صفقات خاسرة</t>
        </is>
      </c>
      <c r="B8" s="19">
        <f>COUNTIF('الصفقات'!$C$6:$C$505,"خسارة")</f>
        <v/>
      </c>
    </row>
    <row r="9">
      <c r="A9" s="12" t="inlineStr">
        <is>
          <t>قيمة الصفقات المفتوحة</t>
        </is>
      </c>
      <c r="B9" s="18">
        <f>SUM('الصفقات'!$D$6:$D$505)-SUMIFS('الصفقات'!$D$6:$D$505,'الصفقات'!$C$6:$C$505,"تم")-SUMIFS('الصفقات'!$D$6:$D$505,'الصفقات'!$C$6:$C$505,"خسارة")</f>
        <v/>
      </c>
    </row>
    <row r="10">
      <c r="A10" s="12" t="inlineStr">
        <is>
          <t>القيمة الموزونة المتوقعة للمفتوحة</t>
        </is>
      </c>
      <c r="B10" s="23">
        <f>SUM('الصفقات'!$I$6:$I$505)-SUMIFS('الصفقات'!$I$6:$I$505,'الصفقات'!$C$6:$C$505,"تم")-SUMIFS('الصفقات'!$I$6:$I$505,'الصفقات'!$C$6:$C$505,"خسارة")</f>
        <v/>
      </c>
    </row>
    <row r="11">
      <c r="A11" s="12" t="inlineStr">
        <is>
          <t>قيمة المبيعات المغلقة (تم)</t>
        </is>
      </c>
      <c r="B11" s="23">
        <f>SUMIFS('الصفقات'!$D$6:$D$505,'الصفقات'!$C$6:$C$505,"تم")</f>
        <v/>
      </c>
    </row>
    <row r="12">
      <c r="A12" s="12" t="inlineStr">
        <is>
          <t>قيمة الصفقات الخاسرة</t>
        </is>
      </c>
      <c r="B12" s="18">
        <f>SUMIFS('الصفقات'!$D$6:$D$505,'الصفقات'!$C$6:$C$505,"خسارة")</f>
        <v/>
      </c>
    </row>
    <row r="13">
      <c r="A13" s="12" t="inlineStr">
        <is>
          <t>نسبة الفوز (تم من تم + خسارة)</t>
        </is>
      </c>
      <c r="B13" s="24">
        <f>IF(B7+B8=0,"",B7/(B7+B8))</f>
        <v/>
      </c>
    </row>
    <row r="14">
      <c r="A14" s="12" t="inlineStr">
        <is>
          <t>نسبة التحويل الكلية (تم من كل الصفقات)</t>
        </is>
      </c>
      <c r="B14" s="24">
        <f>IF(B5=0,"",B7/B5)</f>
        <v/>
      </c>
    </row>
    <row r="15">
      <c r="A15" s="12" t="inlineStr">
        <is>
          <t>متوسط قيمة الصفقة المغلقة</t>
        </is>
      </c>
      <c r="B15" s="18">
        <f>IF(B7=0,"",B11/B7)</f>
        <v/>
      </c>
    </row>
    <row r="17">
      <c r="A17" s="22" t="inlineStr">
        <is>
          <t>المتابعات</t>
        </is>
      </c>
    </row>
    <row r="18">
      <c r="A18" s="12" t="inlineStr">
        <is>
          <t>متأخرة</t>
        </is>
      </c>
      <c r="B18" s="19">
        <f>COUNTIF('الصفقات'!$J$6:$J$505,"متأخرة")</f>
        <v/>
      </c>
    </row>
    <row r="19">
      <c r="A19" s="12" t="inlineStr">
        <is>
          <t>اليوم</t>
        </is>
      </c>
      <c r="B19" s="19">
        <f>COUNTIF('الصفقات'!$J$6:$J$505,"اليوم")</f>
        <v/>
      </c>
    </row>
    <row r="20">
      <c r="A20" s="12" t="inlineStr">
        <is>
          <t>قادمة</t>
        </is>
      </c>
      <c r="B20" s="19">
        <f>COUNTIF('الصفقات'!$J$6:$J$505,"قادمة")</f>
        <v/>
      </c>
    </row>
    <row r="21">
      <c r="A21" s="12" t="inlineStr">
        <is>
          <t>مفتوحة بلا موعد</t>
        </is>
      </c>
      <c r="B21" s="19">
        <f>COUNTIF('الصفقات'!$J$6:$J$505,"بلا موعد")</f>
        <v/>
      </c>
    </row>
    <row r="23">
      <c r="A23" s="22" t="inlineStr">
        <is>
          <t>القمع حسب المرحلة</t>
        </is>
      </c>
    </row>
    <row r="24" ht="32" customHeight="1">
      <c r="A24" s="14" t="inlineStr">
        <is>
          <t>المرحلة</t>
        </is>
      </c>
      <c r="B24" s="14" t="inlineStr">
        <is>
          <t>عدد الصفقات</t>
        </is>
      </c>
      <c r="C24" s="14" t="inlineStr">
        <is>
          <t>القيمة</t>
        </is>
      </c>
      <c r="D24" s="14" t="inlineStr">
        <is>
          <t>نسبة من الصفقات</t>
        </is>
      </c>
      <c r="E24" s="14" t="inlineStr">
        <is>
          <t>الاحتمال</t>
        </is>
      </c>
      <c r="F24" s="14" t="inlineStr">
        <is>
          <t>القيمة الموزونة</t>
        </is>
      </c>
    </row>
    <row r="25">
      <c r="A25" s="12">
        <f>'الإعدادات'!A8</f>
        <v/>
      </c>
      <c r="B25" s="19">
        <f>COUNTIFS('الصفقات'!$C$6:$C$505,A25)</f>
        <v/>
      </c>
      <c r="C25" s="18">
        <f>SUMIFS('الصفقات'!$D$6:$D$505,'الصفقات'!$C$6:$C$505,A25)</f>
        <v/>
      </c>
      <c r="D25" s="24">
        <f>IF($B$5=0,"",B25/$B$5)</f>
        <v/>
      </c>
      <c r="E25" s="17">
        <f>'الإعدادات'!B8</f>
        <v/>
      </c>
      <c r="F25" s="18">
        <f>SUMIFS('الصفقات'!$I$6:$I$505,'الصفقات'!$C$6:$C$505,A25)</f>
        <v/>
      </c>
    </row>
    <row r="26">
      <c r="A26" s="12">
        <f>'الإعدادات'!A9</f>
        <v/>
      </c>
      <c r="B26" s="19">
        <f>COUNTIFS('الصفقات'!$C$6:$C$505,A26)</f>
        <v/>
      </c>
      <c r="C26" s="18">
        <f>SUMIFS('الصفقات'!$D$6:$D$505,'الصفقات'!$C$6:$C$505,A26)</f>
        <v/>
      </c>
      <c r="D26" s="24">
        <f>IF($B$5=0,"",B26/$B$5)</f>
        <v/>
      </c>
      <c r="E26" s="17">
        <f>'الإعدادات'!B9</f>
        <v/>
      </c>
      <c r="F26" s="18">
        <f>SUMIFS('الصفقات'!$I$6:$I$505,'الصفقات'!$C$6:$C$505,A26)</f>
        <v/>
      </c>
    </row>
    <row r="27">
      <c r="A27" s="12">
        <f>'الإعدادات'!A10</f>
        <v/>
      </c>
      <c r="B27" s="19">
        <f>COUNTIFS('الصفقات'!$C$6:$C$505,A27)</f>
        <v/>
      </c>
      <c r="C27" s="18">
        <f>SUMIFS('الصفقات'!$D$6:$D$505,'الصفقات'!$C$6:$C$505,A27)</f>
        <v/>
      </c>
      <c r="D27" s="24">
        <f>IF($B$5=0,"",B27/$B$5)</f>
        <v/>
      </c>
      <c r="E27" s="17">
        <f>'الإعدادات'!B10</f>
        <v/>
      </c>
      <c r="F27" s="18">
        <f>SUMIFS('الصفقات'!$I$6:$I$505,'الصفقات'!$C$6:$C$505,A27)</f>
        <v/>
      </c>
    </row>
    <row r="28">
      <c r="A28" s="12">
        <f>'الإعدادات'!A11</f>
        <v/>
      </c>
      <c r="B28" s="19">
        <f>COUNTIFS('الصفقات'!$C$6:$C$505,A28)</f>
        <v/>
      </c>
      <c r="C28" s="18">
        <f>SUMIFS('الصفقات'!$D$6:$D$505,'الصفقات'!$C$6:$C$505,A28)</f>
        <v/>
      </c>
      <c r="D28" s="24">
        <f>IF($B$5=0,"",B28/$B$5)</f>
        <v/>
      </c>
      <c r="E28" s="17">
        <f>'الإعدادات'!B11</f>
        <v/>
      </c>
      <c r="F28" s="18">
        <f>SUMIFS('الصفقات'!$I$6:$I$505,'الصفقات'!$C$6:$C$505,A28)</f>
        <v/>
      </c>
    </row>
    <row r="29">
      <c r="A29" s="12">
        <f>'الإعدادات'!A12</f>
        <v/>
      </c>
      <c r="B29" s="19">
        <f>COUNTIFS('الصفقات'!$C$6:$C$505,A29)</f>
        <v/>
      </c>
      <c r="C29" s="18">
        <f>SUMIFS('الصفقات'!$D$6:$D$505,'الصفقات'!$C$6:$C$505,A29)</f>
        <v/>
      </c>
      <c r="D29" s="24">
        <f>IF($B$5=0,"",B29/$B$5)</f>
        <v/>
      </c>
      <c r="E29" s="17">
        <f>'الإعدادات'!B12</f>
        <v/>
      </c>
      <c r="F29" s="18">
        <f>SUMIFS('الصفقات'!$I$6:$I$505,'الصفقات'!$C$6:$C$505,A29)</f>
        <v/>
      </c>
    </row>
    <row r="30">
      <c r="A30" s="12">
        <f>'الإعدادات'!A13</f>
        <v/>
      </c>
      <c r="B30" s="19">
        <f>COUNTIFS('الصفقات'!$C$6:$C$505,A30)</f>
        <v/>
      </c>
      <c r="C30" s="18">
        <f>SUMIFS('الصفقات'!$D$6:$D$505,'الصفقات'!$C$6:$C$505,A30)</f>
        <v/>
      </c>
      <c r="D30" s="24">
        <f>IF($B$5=0,"",B30/$B$5)</f>
        <v/>
      </c>
      <c r="E30" s="17">
        <f>'الإعدادات'!B13</f>
        <v/>
      </c>
      <c r="F30" s="18">
        <f>SUMIFS('الصفقات'!$I$6:$I$505,'الصفقات'!$C$6:$C$505,A30)</f>
        <v/>
      </c>
    </row>
    <row r="32">
      <c r="A32" s="22" t="inlineStr">
        <is>
          <t>مصادر العملاء</t>
        </is>
      </c>
    </row>
    <row r="33" ht="32" customHeight="1">
      <c r="A33" s="14" t="inlineStr">
        <is>
          <t>المصدر</t>
        </is>
      </c>
      <c r="B33" s="14" t="inlineStr">
        <is>
          <t>عدد الصفقات</t>
        </is>
      </c>
      <c r="C33" s="14" t="inlineStr">
        <is>
          <t>قيمة الصفقات</t>
        </is>
      </c>
      <c r="D33" s="14" t="inlineStr">
        <is>
          <t>صفقات تمت</t>
        </is>
      </c>
      <c r="E33" s="14" t="inlineStr">
        <is>
          <t>المبيعات المغلقة</t>
        </is>
      </c>
      <c r="F33" s="14" t="inlineStr">
        <is>
          <t>نسبة التحويل</t>
        </is>
      </c>
    </row>
    <row r="34">
      <c r="A34" s="12">
        <f>IF('الإعدادات'!A16="","",'الإعدادات'!A16)</f>
        <v/>
      </c>
      <c r="B34" s="19">
        <f>IF($A34="","",COUNTIFS('الصفقات'!$B$6:$B$505,$A34))</f>
        <v/>
      </c>
      <c r="C34" s="18">
        <f>IF($A34="","",SUMIFS('الصفقات'!$D$6:$D$505,'الصفقات'!$B$6:$B$505,$A34))</f>
        <v/>
      </c>
      <c r="D34" s="19">
        <f>IF($A34="","",COUNTIFS('الصفقات'!$B$6:$B$505,$A34,'الصفقات'!$C$6:$C$505,"تم"))</f>
        <v/>
      </c>
      <c r="E34" s="18">
        <f>IF($A34="","",SUMIFS('الصفقات'!$D$6:$D$505,'الصفقات'!$B$6:$B$505,$A34,'الصفقات'!$C$6:$C$505,"تم"))</f>
        <v/>
      </c>
      <c r="F34" s="24">
        <f>IF($A34="","",IF(B34=0,"",D34/B34))</f>
        <v/>
      </c>
    </row>
    <row r="35">
      <c r="A35" s="12">
        <f>IF('الإعدادات'!A17="","",'الإعدادات'!A17)</f>
        <v/>
      </c>
      <c r="B35" s="19">
        <f>IF($A35="","",COUNTIFS('الصفقات'!$B$6:$B$505,$A35))</f>
        <v/>
      </c>
      <c r="C35" s="18">
        <f>IF($A35="","",SUMIFS('الصفقات'!$D$6:$D$505,'الصفقات'!$B$6:$B$505,$A35))</f>
        <v/>
      </c>
      <c r="D35" s="19">
        <f>IF($A35="","",COUNTIFS('الصفقات'!$B$6:$B$505,$A35,'الصفقات'!$C$6:$C$505,"تم"))</f>
        <v/>
      </c>
      <c r="E35" s="18">
        <f>IF($A35="","",SUMIFS('الصفقات'!$D$6:$D$505,'الصفقات'!$B$6:$B$505,$A35,'الصفقات'!$C$6:$C$505,"تم"))</f>
        <v/>
      </c>
      <c r="F35" s="24">
        <f>IF($A35="","",IF(B35=0,"",D35/B35))</f>
        <v/>
      </c>
    </row>
    <row r="36">
      <c r="A36" s="12">
        <f>IF('الإعدادات'!A18="","",'الإعدادات'!A18)</f>
        <v/>
      </c>
      <c r="B36" s="19">
        <f>IF($A36="","",COUNTIFS('الصفقات'!$B$6:$B$505,$A36))</f>
        <v/>
      </c>
      <c r="C36" s="18">
        <f>IF($A36="","",SUMIFS('الصفقات'!$D$6:$D$505,'الصفقات'!$B$6:$B$505,$A36))</f>
        <v/>
      </c>
      <c r="D36" s="19">
        <f>IF($A36="","",COUNTIFS('الصفقات'!$B$6:$B$505,$A36,'الصفقات'!$C$6:$C$505,"تم"))</f>
        <v/>
      </c>
      <c r="E36" s="18">
        <f>IF($A36="","",SUMIFS('الصفقات'!$D$6:$D$505,'الصفقات'!$B$6:$B$505,$A36,'الصفقات'!$C$6:$C$505,"تم"))</f>
        <v/>
      </c>
      <c r="F36" s="24">
        <f>IF($A36="","",IF(B36=0,"",D36/B36))</f>
        <v/>
      </c>
    </row>
    <row r="37">
      <c r="A37" s="12">
        <f>IF('الإعدادات'!A19="","",'الإعدادات'!A19)</f>
        <v/>
      </c>
      <c r="B37" s="19">
        <f>IF($A37="","",COUNTIFS('الصفقات'!$B$6:$B$505,$A37))</f>
        <v/>
      </c>
      <c r="C37" s="18">
        <f>IF($A37="","",SUMIFS('الصفقات'!$D$6:$D$505,'الصفقات'!$B$6:$B$505,$A37))</f>
        <v/>
      </c>
      <c r="D37" s="19">
        <f>IF($A37="","",COUNTIFS('الصفقات'!$B$6:$B$505,$A37,'الصفقات'!$C$6:$C$505,"تم"))</f>
        <v/>
      </c>
      <c r="E37" s="18">
        <f>IF($A37="","",SUMIFS('الصفقات'!$D$6:$D$505,'الصفقات'!$B$6:$B$505,$A37,'الصفقات'!$C$6:$C$505,"تم"))</f>
        <v/>
      </c>
      <c r="F37" s="24">
        <f>IF($A37="","",IF(B37=0,"",D37/B37))</f>
        <v/>
      </c>
    </row>
    <row r="38">
      <c r="A38" s="12">
        <f>IF('الإعدادات'!A20="","",'الإعدادات'!A20)</f>
        <v/>
      </c>
      <c r="B38" s="19">
        <f>IF($A38="","",COUNTIFS('الصفقات'!$B$6:$B$505,$A38))</f>
        <v/>
      </c>
      <c r="C38" s="18">
        <f>IF($A38="","",SUMIFS('الصفقات'!$D$6:$D$505,'الصفقات'!$B$6:$B$505,$A38))</f>
        <v/>
      </c>
      <c r="D38" s="19">
        <f>IF($A38="","",COUNTIFS('الصفقات'!$B$6:$B$505,$A38,'الصفقات'!$C$6:$C$505,"تم"))</f>
        <v/>
      </c>
      <c r="E38" s="18">
        <f>IF($A38="","",SUMIFS('الصفقات'!$D$6:$D$505,'الصفقات'!$B$6:$B$505,$A38,'الصفقات'!$C$6:$C$505,"تم"))</f>
        <v/>
      </c>
      <c r="F38" s="24">
        <f>IF($A38="","",IF(B38=0,"",D38/B38))</f>
        <v/>
      </c>
    </row>
    <row r="39">
      <c r="A39" s="12">
        <f>IF('الإعدادات'!A21="","",'الإعدادات'!A21)</f>
        <v/>
      </c>
      <c r="B39" s="19">
        <f>IF($A39="","",COUNTIFS('الصفقات'!$B$6:$B$505,$A39))</f>
        <v/>
      </c>
      <c r="C39" s="18">
        <f>IF($A39="","",SUMIFS('الصفقات'!$D$6:$D$505,'الصفقات'!$B$6:$B$505,$A39))</f>
        <v/>
      </c>
      <c r="D39" s="19">
        <f>IF($A39="","",COUNTIFS('الصفقات'!$B$6:$B$505,$A39,'الصفقات'!$C$6:$C$505,"تم"))</f>
        <v/>
      </c>
      <c r="E39" s="18">
        <f>IF($A39="","",SUMIFS('الصفقات'!$D$6:$D$505,'الصفقات'!$B$6:$B$505,$A39,'الصفقات'!$C$6:$C$505,"تم"))</f>
        <v/>
      </c>
      <c r="F39" s="24">
        <f>IF($A39="","",IF(B39=0,"",D39/B39))</f>
        <v/>
      </c>
    </row>
    <row r="40">
      <c r="A40" s="12">
        <f>IF('الإعدادات'!A22="","",'الإعدادات'!A22)</f>
        <v/>
      </c>
      <c r="B40" s="19">
        <f>IF($A40="","",COUNTIFS('الصفقات'!$B$6:$B$505,$A40))</f>
        <v/>
      </c>
      <c r="C40" s="18">
        <f>IF($A40="","",SUMIFS('الصفقات'!$D$6:$D$505,'الصفقات'!$B$6:$B$505,$A40))</f>
        <v/>
      </c>
      <c r="D40" s="19">
        <f>IF($A40="","",COUNTIFS('الصفقات'!$B$6:$B$505,$A40,'الصفقات'!$C$6:$C$505,"تم"))</f>
        <v/>
      </c>
      <c r="E40" s="18">
        <f>IF($A40="","",SUMIFS('الصفقات'!$D$6:$D$505,'الصفقات'!$B$6:$B$505,$A40,'الصفقات'!$C$6:$C$505,"تم"))</f>
        <v/>
      </c>
      <c r="F40" s="24">
        <f>IF($A40="","",IF(B40=0,"",D40/B40))</f>
        <v/>
      </c>
    </row>
    <row r="41">
      <c r="A41" s="12">
        <f>IF('الإعدادات'!A23="","",'الإعدادات'!A23)</f>
        <v/>
      </c>
      <c r="B41" s="19">
        <f>IF($A41="","",COUNTIFS('الصفقات'!$B$6:$B$505,$A41))</f>
        <v/>
      </c>
      <c r="C41" s="18">
        <f>IF($A41="","",SUMIFS('الصفقات'!$D$6:$D$505,'الصفقات'!$B$6:$B$505,$A41))</f>
        <v/>
      </c>
      <c r="D41" s="19">
        <f>IF($A41="","",COUNTIFS('الصفقات'!$B$6:$B$505,$A41,'الصفقات'!$C$6:$C$505,"تم"))</f>
        <v/>
      </c>
      <c r="E41" s="18">
        <f>IF($A41="","",SUMIFS('الصفقات'!$D$6:$D$505,'الصفقات'!$B$6:$B$505,$A41,'الصفقات'!$C$6:$C$505,"تم"))</f>
        <v/>
      </c>
      <c r="F41" s="24">
        <f>IF($A41="","",IF(B41=0,"",D41/B41))</f>
        <v/>
      </c>
    </row>
    <row r="42">
      <c r="A42" s="12">
        <f>IF('الإعدادات'!A24="","",'الإعدادات'!A24)</f>
        <v/>
      </c>
      <c r="B42" s="19">
        <f>IF($A42="","",COUNTIFS('الصفقات'!$B$6:$B$505,$A42))</f>
        <v/>
      </c>
      <c r="C42" s="18">
        <f>IF($A42="","",SUMIFS('الصفقات'!$D$6:$D$505,'الصفقات'!$B$6:$B$505,$A42))</f>
        <v/>
      </c>
      <c r="D42" s="19">
        <f>IF($A42="","",COUNTIFS('الصفقات'!$B$6:$B$505,$A42,'الصفقات'!$C$6:$C$505,"تم"))</f>
        <v/>
      </c>
      <c r="E42" s="18">
        <f>IF($A42="","",SUMIFS('الصفقات'!$D$6:$D$505,'الصفقات'!$B$6:$B$505,$A42,'الصفقات'!$C$6:$C$505,"تم"))</f>
        <v/>
      </c>
      <c r="F42" s="24">
        <f>IF($A42="","",IF(B42=0,"",D42/B42))</f>
        <v/>
      </c>
    </row>
    <row r="43">
      <c r="A43" s="12">
        <f>IF('الإعدادات'!A25="","",'الإعدادات'!A25)</f>
        <v/>
      </c>
      <c r="B43" s="19">
        <f>IF($A43="","",COUNTIFS('الصفقات'!$B$6:$B$505,$A43))</f>
        <v/>
      </c>
      <c r="C43" s="18">
        <f>IF($A43="","",SUMIFS('الصفقات'!$D$6:$D$505,'الصفقات'!$B$6:$B$505,$A43))</f>
        <v/>
      </c>
      <c r="D43" s="19">
        <f>IF($A43="","",COUNTIFS('الصفقات'!$B$6:$B$505,$A43,'الصفقات'!$C$6:$C$505,"تم"))</f>
        <v/>
      </c>
      <c r="E43" s="18">
        <f>IF($A43="","",SUMIFS('الصفقات'!$D$6:$D$505,'الصفقات'!$B$6:$B$505,$A43,'الصفقات'!$C$6:$C$505,"تم"))</f>
        <v/>
      </c>
      <c r="F43" s="24">
        <f>IF($A43="","",IF(B43=0,"",D43/B43))</f>
        <v/>
      </c>
    </row>
  </sheetData>
  <mergeCells count="2">
    <mergeCell ref="A2:F2"/>
    <mergeCell ref="A1:F1"/>
  </mergeCells>
  <conditionalFormatting sqref="B18">
    <cfRule type="expression" priority="1" dxfId="0">
      <formula>B18&gt;0</formula>
    </cfRule>
  </conditionalFormatting>
  <conditionalFormatting sqref="B19:B21">
    <cfRule type="expression" priority="2" dxfId="1">
      <formula>B19&gt;0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4" t="inlineStr">
        <is>
          <t>في هذا الشيت</t>
        </is>
      </c>
      <c r="C5" s="14"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العملاء المحتملين والصفقات</dc:title>
  <dc:description>يتابع كل عميل محتمل وصفقة: مصدره ومرحلته وقيمتها وموعد المتابعة القادم وآخر تواصل، ويحسب القيمة الموزونة بحسب المرحلة، ويعرض متابعات اليوم والمتأخرة وملخص القمع ومصادر العملاء.</dc:description>
  <dcterms:created xsi:type="dcterms:W3CDTF">2026-11-04T22:23:36Z</dcterms:created>
  <dcterms:modified xsi:type="dcterms:W3CDTF">2026-11-04T22:23:37Z</dcterms:modified>
  <cp:keywords>Softwiro, Excel, شيت متابعة العملاء المحتملين والصفقات</cp:keywords>
</cp:coreProperties>
</file>